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nipun\Sync\XLS tools\SMG (AT)\"/>
    </mc:Choice>
  </mc:AlternateContent>
  <xr:revisionPtr revIDLastSave="0" documentId="13_ncr:1_{9CEB3517-5F6F-4B5E-A7F4-A1E19BDC9471}" xr6:coauthVersionLast="47" xr6:coauthVersionMax="47" xr10:uidLastSave="{00000000-0000-0000-0000-000000000000}"/>
  <bookViews>
    <workbookView xWindow="-110" yWindow="-110" windowWidth="19420" windowHeight="10420" tabRatio="732" xr2:uid="{00000000-000D-0000-FFFF-FFFF00000000}"/>
  </bookViews>
  <sheets>
    <sheet name="1. Read Me" sheetId="19" r:id="rId1"/>
    <sheet name="2. Inputs" sheetId="9" r:id="rId2"/>
    <sheet name="3. Report" sheetId="12" r:id="rId3"/>
    <sheet name="Backend Design " sheetId="18" r:id="rId4"/>
    <sheet name="Backend Values" sheetId="13" r:id="rId5"/>
    <sheet name="Transmission examples" sheetId="29" r:id="rId6"/>
    <sheet name="Reference Prices" sheetId="23" r:id="rId7"/>
  </sheets>
  <definedNames>
    <definedName name="_xlnm.Print_Area" localSheetId="0">'1. Read Me'!$A$1:$I$36</definedName>
    <definedName name="_xlnm.Print_Area" localSheetId="1">'2. Inputs'!$A$1:$AA$104</definedName>
    <definedName name="_xlnm.Print_Area" localSheetId="2">'3. Report'!$A$1:$AC$42</definedName>
    <definedName name="_xlnm.Print_Area" localSheetId="3">'Backend Design '!$A$1:$G$73</definedName>
    <definedName name="_xlnm.Print_Area" localSheetId="4">'Backend Values'!$A$1:$M$92</definedName>
    <definedName name="_xlnm.Print_Area" localSheetId="6">'Reference Prices'!$A$1:$J$53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9" l="1"/>
  <c r="D33" i="23"/>
  <c r="Q34" i="12" l="1"/>
  <c r="D7" i="9"/>
  <c r="AG84" i="23" l="1"/>
  <c r="AG85" i="23"/>
  <c r="AG86" i="23"/>
  <c r="AG87" i="23"/>
  <c r="AG88" i="23"/>
  <c r="AG89" i="23"/>
  <c r="AG90" i="23"/>
  <c r="AG91" i="23"/>
  <c r="AG92" i="23"/>
  <c r="AG93" i="23"/>
  <c r="AG94" i="23"/>
  <c r="AG95" i="23"/>
  <c r="AG96" i="23"/>
  <c r="AG97" i="23"/>
  <c r="AF89" i="18"/>
  <c r="O31" i="12"/>
  <c r="I26" i="12" l="1"/>
  <c r="N22" i="12" l="1"/>
  <c r="D44" i="23" l="1"/>
  <c r="O33" i="12" s="1"/>
  <c r="O36" i="12" s="1"/>
  <c r="D43" i="23"/>
  <c r="O32" i="12" s="1"/>
  <c r="O35" i="12" s="1"/>
  <c r="O22" i="12"/>
  <c r="O21" i="12"/>
  <c r="F34" i="23" l="1"/>
  <c r="K101" i="23"/>
  <c r="O101" i="23"/>
  <c r="S101" i="23"/>
  <c r="W101" i="23"/>
  <c r="AA101" i="23"/>
  <c r="AE101" i="23"/>
  <c r="AI101" i="23"/>
  <c r="AM101" i="23"/>
  <c r="AQ101" i="23"/>
  <c r="AS101" i="23"/>
  <c r="G102" i="23"/>
  <c r="K102" i="23"/>
  <c r="O102" i="23"/>
  <c r="S102" i="23"/>
  <c r="W102" i="23"/>
  <c r="AA102" i="23"/>
  <c r="AE102" i="23"/>
  <c r="AI102" i="23"/>
  <c r="AM102" i="23"/>
  <c r="AQ102" i="23"/>
  <c r="AS102" i="23"/>
  <c r="G103" i="23"/>
  <c r="K103" i="23"/>
  <c r="O103" i="23"/>
  <c r="S103" i="23"/>
  <c r="W103" i="23"/>
  <c r="AA103" i="23"/>
  <c r="AE103" i="23"/>
  <c r="AI103" i="23"/>
  <c r="AM103" i="23"/>
  <c r="AQ103" i="23"/>
  <c r="AS103" i="23"/>
  <c r="AM104" i="23"/>
  <c r="AQ104" i="23"/>
  <c r="AT104" i="23" s="1"/>
  <c r="AS104" i="23"/>
  <c r="AS105" i="23"/>
  <c r="AU105" i="23"/>
  <c r="G106" i="23"/>
  <c r="K106" i="23"/>
  <c r="O106" i="23"/>
  <c r="S106" i="23"/>
  <c r="W106" i="23"/>
  <c r="AA106" i="23"/>
  <c r="AE106" i="23"/>
  <c r="AI106" i="23"/>
  <c r="AM106" i="23"/>
  <c r="AS106" i="23"/>
  <c r="AI107" i="23"/>
  <c r="AT107" i="23" s="1"/>
  <c r="AS107" i="23"/>
  <c r="AS108" i="23"/>
  <c r="AU108" i="23"/>
  <c r="AM109" i="23"/>
  <c r="AQ109" i="23"/>
  <c r="AS109" i="23"/>
  <c r="G110" i="23"/>
  <c r="K110" i="23"/>
  <c r="O110" i="23"/>
  <c r="S110" i="23"/>
  <c r="W110" i="23"/>
  <c r="AA110" i="23"/>
  <c r="AE110" i="23"/>
  <c r="AI110" i="23"/>
  <c r="AM110" i="23"/>
  <c r="AQ110" i="23"/>
  <c r="AS110" i="23"/>
  <c r="G111" i="23"/>
  <c r="K111" i="23"/>
  <c r="O111" i="23"/>
  <c r="S111" i="23"/>
  <c r="W111" i="23"/>
  <c r="AA111" i="23"/>
  <c r="AE111" i="23"/>
  <c r="AI111" i="23"/>
  <c r="AM111" i="23"/>
  <c r="AQ111" i="23"/>
  <c r="AS111" i="23"/>
  <c r="G112" i="23"/>
  <c r="K112" i="23"/>
  <c r="O112" i="23"/>
  <c r="S112" i="23"/>
  <c r="W112" i="23"/>
  <c r="AA112" i="23"/>
  <c r="AE112" i="23"/>
  <c r="AI112" i="23"/>
  <c r="AM112" i="23"/>
  <c r="AQ112" i="23"/>
  <c r="AS112" i="23"/>
  <c r="G113" i="23"/>
  <c r="K113" i="23"/>
  <c r="O113" i="23"/>
  <c r="S113" i="23"/>
  <c r="W113" i="23"/>
  <c r="AA113" i="23"/>
  <c r="AE113" i="23"/>
  <c r="AI113" i="23"/>
  <c r="AM113" i="23"/>
  <c r="AQ113" i="23"/>
  <c r="AS113" i="23"/>
  <c r="G114" i="23"/>
  <c r="K114" i="23"/>
  <c r="O114" i="23"/>
  <c r="S114" i="23"/>
  <c r="W114" i="23"/>
  <c r="AA114" i="23"/>
  <c r="AE114" i="23"/>
  <c r="AI114" i="23"/>
  <c r="AM114" i="23"/>
  <c r="AQ114" i="23"/>
  <c r="AS114" i="23"/>
  <c r="G115" i="23"/>
  <c r="K115" i="23"/>
  <c r="O115" i="23"/>
  <c r="S115" i="23"/>
  <c r="W115" i="23"/>
  <c r="AA115" i="23"/>
  <c r="AE115" i="23"/>
  <c r="AI115" i="23"/>
  <c r="AM115" i="23"/>
  <c r="AQ115" i="23"/>
  <c r="AS115" i="23"/>
  <c r="G116" i="23"/>
  <c r="K116" i="23"/>
  <c r="S116" i="23"/>
  <c r="W116" i="23"/>
  <c r="AA116" i="23"/>
  <c r="AE116" i="23"/>
  <c r="AI116" i="23"/>
  <c r="AM116" i="23"/>
  <c r="AS116" i="23"/>
  <c r="G117" i="23"/>
  <c r="K117" i="23"/>
  <c r="O117" i="23"/>
  <c r="S117" i="23"/>
  <c r="W117" i="23"/>
  <c r="AA117" i="23"/>
  <c r="AE117" i="23"/>
  <c r="AI117" i="23"/>
  <c r="AM117" i="23"/>
  <c r="AQ117" i="23"/>
  <c r="AS117" i="23"/>
  <c r="G118" i="23"/>
  <c r="K118" i="23"/>
  <c r="O118" i="23"/>
  <c r="S118" i="23"/>
  <c r="W118" i="23"/>
  <c r="AA118" i="23"/>
  <c r="AE118" i="23"/>
  <c r="AI118" i="23"/>
  <c r="AM118" i="23"/>
  <c r="AQ118" i="23"/>
  <c r="AS118" i="23"/>
  <c r="G119" i="23"/>
  <c r="K119" i="23"/>
  <c r="O119" i="23"/>
  <c r="S119" i="23"/>
  <c r="W119" i="23"/>
  <c r="AA119" i="23"/>
  <c r="AE119" i="23"/>
  <c r="AI119" i="23"/>
  <c r="AM119" i="23"/>
  <c r="AQ119" i="23"/>
  <c r="AS119" i="23"/>
  <c r="G120" i="23"/>
  <c r="K120" i="23"/>
  <c r="S120" i="23"/>
  <c r="W120" i="23"/>
  <c r="AA120" i="23"/>
  <c r="AE120" i="23"/>
  <c r="AI120" i="23"/>
  <c r="AM120" i="23"/>
  <c r="AQ120" i="23"/>
  <c r="AS120" i="23"/>
  <c r="G121" i="23"/>
  <c r="K121" i="23"/>
  <c r="O121" i="23"/>
  <c r="S121" i="23"/>
  <c r="W121" i="23"/>
  <c r="AA121" i="23"/>
  <c r="AE121" i="23"/>
  <c r="AI121" i="23"/>
  <c r="AM121" i="23"/>
  <c r="AQ121" i="23"/>
  <c r="AS121" i="23"/>
  <c r="G122" i="23"/>
  <c r="K122" i="23"/>
  <c r="O122" i="23"/>
  <c r="S122" i="23"/>
  <c r="W122" i="23"/>
  <c r="AA122" i="23"/>
  <c r="AE122" i="23"/>
  <c r="AI122" i="23"/>
  <c r="AM122" i="23"/>
  <c r="AQ122" i="23"/>
  <c r="AS122" i="23"/>
  <c r="G123" i="23"/>
  <c r="K123" i="23"/>
  <c r="S123" i="23"/>
  <c r="AS123" i="23"/>
  <c r="AS124" i="23"/>
  <c r="AU124" i="23"/>
  <c r="AS125" i="23"/>
  <c r="AU125" i="23"/>
  <c r="AS126" i="23"/>
  <c r="AU126" i="23"/>
  <c r="G71" i="23"/>
  <c r="G72" i="23"/>
  <c r="G73" i="23"/>
  <c r="G74" i="23"/>
  <c r="G75" i="23"/>
  <c r="F14" i="23"/>
  <c r="F15" i="23"/>
  <c r="D46" i="23"/>
  <c r="D47" i="23"/>
  <c r="D42" i="23"/>
  <c r="D39" i="23"/>
  <c r="O27" i="12" s="1"/>
  <c r="Q11" i="12"/>
  <c r="AT102" i="23" l="1"/>
  <c r="AT106" i="23"/>
  <c r="AU113" i="23"/>
  <c r="AT117" i="23"/>
  <c r="AT110" i="23"/>
  <c r="AU102" i="23"/>
  <c r="AT109" i="23"/>
  <c r="AU120" i="23"/>
  <c r="AU117" i="23"/>
  <c r="AT120" i="23"/>
  <c r="AT101" i="23"/>
  <c r="AU122" i="23"/>
  <c r="AT111" i="23"/>
  <c r="F38" i="23" s="1"/>
  <c r="Q19" i="12" s="1"/>
  <c r="D45" i="23"/>
  <c r="O34" i="12" s="1"/>
  <c r="R34" i="12" s="1"/>
  <c r="O28" i="12"/>
  <c r="O29" i="12" s="1"/>
  <c r="AT119" i="23"/>
  <c r="AU119" i="23"/>
  <c r="AT116" i="23"/>
  <c r="AT113" i="23"/>
  <c r="AT121" i="23"/>
  <c r="AU121" i="23"/>
  <c r="AU118" i="23"/>
  <c r="AU111" i="23"/>
  <c r="AT118" i="23"/>
  <c r="AT122" i="23"/>
  <c r="AT115" i="23"/>
  <c r="AU115" i="23"/>
  <c r="AT112" i="23"/>
  <c r="AU112" i="23"/>
  <c r="AU110" i="23"/>
  <c r="AU123" i="23"/>
  <c r="AU116" i="23"/>
  <c r="AT114" i="23"/>
  <c r="AU114" i="23"/>
  <c r="AT103" i="23"/>
  <c r="AU103" i="23"/>
  <c r="AU106" i="23"/>
  <c r="AU107" i="23"/>
  <c r="AU109" i="23"/>
  <c r="AU101" i="23"/>
  <c r="AU104" i="23"/>
  <c r="I6" i="12" l="1"/>
  <c r="F57" i="9" l="1"/>
  <c r="F58" i="9"/>
  <c r="L95" i="9" s="1"/>
  <c r="F59" i="9"/>
  <c r="H97" i="9" s="1"/>
  <c r="C88" i="9"/>
  <c r="C85" i="9"/>
  <c r="C97" i="9" s="1"/>
  <c r="H59" i="9"/>
  <c r="C84" i="9"/>
  <c r="C96" i="9" s="1"/>
  <c r="C83" i="9"/>
  <c r="C95" i="9" s="1"/>
  <c r="H58" i="9"/>
  <c r="C82" i="9"/>
  <c r="C94" i="9" s="1"/>
  <c r="C81" i="9"/>
  <c r="C93" i="9" s="1"/>
  <c r="C80" i="9"/>
  <c r="C92" i="9" s="1"/>
  <c r="C79" i="9"/>
  <c r="C91" i="9" s="1"/>
  <c r="C78" i="9"/>
  <c r="C90" i="9" s="1"/>
  <c r="C77" i="9"/>
  <c r="C89" i="9" s="1"/>
  <c r="H69" i="9"/>
  <c r="H68" i="9"/>
  <c r="F68" i="9"/>
  <c r="F69" i="9"/>
  <c r="D97" i="9" l="1"/>
  <c r="T95" i="9"/>
  <c r="K95" i="9"/>
  <c r="E95" i="9"/>
  <c r="H95" i="9"/>
  <c r="G95" i="9"/>
  <c r="U95" i="9"/>
  <c r="M95" i="9"/>
  <c r="D95" i="9"/>
  <c r="AA95" i="9"/>
  <c r="S95" i="9"/>
  <c r="Z95" i="9"/>
  <c r="R95" i="9"/>
  <c r="J95" i="9"/>
  <c r="Y95" i="9"/>
  <c r="Q95" i="9"/>
  <c r="I95" i="9"/>
  <c r="X95" i="9"/>
  <c r="P95" i="9"/>
  <c r="W95" i="9"/>
  <c r="O95" i="9"/>
  <c r="V95" i="9"/>
  <c r="N95" i="9"/>
  <c r="F95" i="9"/>
  <c r="J97" i="9"/>
  <c r="R97" i="9"/>
  <c r="M97" i="9"/>
  <c r="L97" i="9"/>
  <c r="Z97" i="9"/>
  <c r="W97" i="9"/>
  <c r="G97" i="9"/>
  <c r="U97" i="9"/>
  <c r="T97" i="9"/>
  <c r="O97" i="9"/>
  <c r="V97" i="9"/>
  <c r="N97" i="9"/>
  <c r="F97" i="9"/>
  <c r="E97" i="9"/>
  <c r="AA97" i="9"/>
  <c r="S97" i="9"/>
  <c r="K97" i="9"/>
  <c r="Y97" i="9"/>
  <c r="Q97" i="9"/>
  <c r="I97" i="9"/>
  <c r="X97" i="9"/>
  <c r="P97" i="9"/>
  <c r="H45" i="9"/>
  <c r="F45" i="9"/>
  <c r="D25" i="9"/>
  <c r="D20" i="9"/>
  <c r="F31" i="23" l="1"/>
  <c r="F35" i="23" s="1"/>
  <c r="F36" i="23"/>
  <c r="N7" i="12" l="1"/>
  <c r="D31" i="23" l="1"/>
  <c r="H31" i="23" s="1"/>
  <c r="I31" i="23" s="1"/>
  <c r="I101" i="18" l="1"/>
  <c r="H101" i="18"/>
  <c r="G101" i="18"/>
  <c r="F101" i="18"/>
  <c r="I100" i="18"/>
  <c r="H100" i="18"/>
  <c r="G100" i="18"/>
  <c r="F100" i="18"/>
  <c r="I99" i="18"/>
  <c r="H99" i="18"/>
  <c r="G99" i="18"/>
  <c r="F99" i="18"/>
  <c r="I77" i="18"/>
  <c r="H77" i="18"/>
  <c r="G77" i="18"/>
  <c r="F77" i="18"/>
  <c r="I78" i="18"/>
  <c r="H78" i="18"/>
  <c r="G78" i="18"/>
  <c r="F78" i="18"/>
  <c r="I79" i="18"/>
  <c r="H79" i="18"/>
  <c r="G79" i="18"/>
  <c r="F79" i="18"/>
  <c r="U95" i="18"/>
  <c r="T95" i="18"/>
  <c r="S95" i="18"/>
  <c r="I80" i="18"/>
  <c r="H80" i="18"/>
  <c r="G80" i="18"/>
  <c r="F80" i="18"/>
  <c r="I81" i="18"/>
  <c r="H81" i="18"/>
  <c r="G81" i="18"/>
  <c r="F81" i="18"/>
  <c r="I82" i="18"/>
  <c r="H82" i="18"/>
  <c r="G82" i="18"/>
  <c r="F82" i="18"/>
  <c r="I83" i="18"/>
  <c r="H83" i="18"/>
  <c r="G83" i="18"/>
  <c r="F83" i="18"/>
  <c r="I84" i="18"/>
  <c r="H84" i="18"/>
  <c r="G84" i="18"/>
  <c r="F84" i="18"/>
  <c r="I85" i="18"/>
  <c r="H85" i="18"/>
  <c r="G85" i="18"/>
  <c r="F85" i="18"/>
  <c r="AB89" i="18"/>
  <c r="AA89" i="18"/>
  <c r="Z89" i="18"/>
  <c r="X89" i="18"/>
  <c r="Q89" i="18"/>
  <c r="P89" i="18"/>
  <c r="O89" i="18"/>
  <c r="M89" i="18"/>
  <c r="I86" i="18"/>
  <c r="H86" i="18"/>
  <c r="G86" i="18"/>
  <c r="F86" i="18"/>
  <c r="AB88" i="18"/>
  <c r="AA88" i="18"/>
  <c r="Z88" i="18"/>
  <c r="X88" i="18"/>
  <c r="Q88" i="18"/>
  <c r="P88" i="18"/>
  <c r="O88" i="18"/>
  <c r="M88" i="18"/>
  <c r="I87" i="18"/>
  <c r="H87" i="18"/>
  <c r="G87" i="18"/>
  <c r="F87" i="18"/>
  <c r="AB87" i="18"/>
  <c r="AA87" i="18"/>
  <c r="Z87" i="18"/>
  <c r="X87" i="18"/>
  <c r="Q87" i="18"/>
  <c r="P87" i="18"/>
  <c r="O87" i="18"/>
  <c r="M87" i="18"/>
  <c r="I88" i="18"/>
  <c r="H88" i="18"/>
  <c r="G88" i="18"/>
  <c r="F88" i="18"/>
  <c r="I89" i="18"/>
  <c r="H89" i="18"/>
  <c r="G89" i="18"/>
  <c r="F89" i="18"/>
  <c r="I90" i="18"/>
  <c r="H90" i="18"/>
  <c r="G90" i="18"/>
  <c r="F90" i="18"/>
  <c r="I91" i="18"/>
  <c r="H91" i="18"/>
  <c r="G91" i="18"/>
  <c r="F91" i="18"/>
  <c r="I92" i="18"/>
  <c r="H92" i="18"/>
  <c r="G92" i="18"/>
  <c r="F92" i="18"/>
  <c r="I93" i="18"/>
  <c r="H93" i="18"/>
  <c r="G93" i="18"/>
  <c r="F93" i="18"/>
  <c r="I94" i="18"/>
  <c r="H94" i="18"/>
  <c r="G94" i="18"/>
  <c r="F94" i="18"/>
  <c r="I95" i="18"/>
  <c r="H95" i="18"/>
  <c r="G95" i="18"/>
  <c r="F95" i="18"/>
  <c r="I96" i="18"/>
  <c r="H96" i="18"/>
  <c r="G96" i="18"/>
  <c r="F96" i="18"/>
  <c r="I97" i="18"/>
  <c r="H97" i="18"/>
  <c r="G97" i="18"/>
  <c r="F97" i="18"/>
  <c r="I98" i="18"/>
  <c r="H98" i="18"/>
  <c r="G98" i="18"/>
  <c r="F98" i="18"/>
  <c r="H47" i="9"/>
  <c r="AE89" i="18" l="1"/>
  <c r="U88" i="18"/>
  <c r="AC88" i="18"/>
  <c r="AD88" i="18"/>
  <c r="R89" i="18"/>
  <c r="AC89" i="18"/>
  <c r="AF88" i="18"/>
  <c r="AF87" i="18"/>
  <c r="U89" i="18"/>
  <c r="T89" i="18"/>
  <c r="AD89" i="18"/>
  <c r="R87" i="18"/>
  <c r="R88" i="18"/>
  <c r="S88" i="18"/>
  <c r="AD87" i="18"/>
  <c r="AE87" i="18"/>
  <c r="T88" i="18"/>
  <c r="AE88" i="18"/>
  <c r="S87" i="18"/>
  <c r="T87" i="18"/>
  <c r="U87" i="18"/>
  <c r="S89" i="18"/>
  <c r="V95" i="18"/>
  <c r="W95" i="18"/>
  <c r="AC87" i="18"/>
  <c r="X95" i="18"/>
  <c r="Y95" i="18"/>
  <c r="H40" i="9"/>
  <c r="D48" i="23" l="1"/>
  <c r="D44" i="18" l="1"/>
  <c r="D37" i="18"/>
  <c r="D36" i="18"/>
  <c r="H67" i="9"/>
  <c r="F67" i="9"/>
  <c r="F64" i="9"/>
  <c r="F41" i="9"/>
  <c r="F40" i="9"/>
  <c r="I19" i="12"/>
  <c r="H18" i="12"/>
  <c r="H41" i="9"/>
  <c r="F42" i="9"/>
  <c r="H42" i="9"/>
  <c r="F43" i="9"/>
  <c r="H43" i="9"/>
  <c r="F44" i="9"/>
  <c r="H44" i="9"/>
  <c r="F52" i="9"/>
  <c r="H52" i="9"/>
  <c r="F53" i="9"/>
  <c r="H53" i="9"/>
  <c r="F54" i="9"/>
  <c r="L94" i="9" s="1"/>
  <c r="H54" i="9"/>
  <c r="F55" i="9"/>
  <c r="H55" i="9"/>
  <c r="F56" i="9"/>
  <c r="D96" i="9" s="1"/>
  <c r="H56" i="9"/>
  <c r="H57" i="9"/>
  <c r="H64" i="9"/>
  <c r="F65" i="9"/>
  <c r="H65" i="9"/>
  <c r="F66" i="9"/>
  <c r="H66" i="9"/>
  <c r="H46" i="9" l="1"/>
  <c r="H48" i="9" s="1"/>
  <c r="D28" i="12" s="1"/>
  <c r="L93" i="9"/>
  <c r="D93" i="9"/>
  <c r="L92" i="9"/>
  <c r="D92" i="9"/>
  <c r="L90" i="9"/>
  <c r="D90" i="9"/>
  <c r="M91" i="9"/>
  <c r="D91" i="9"/>
  <c r="L89" i="9"/>
  <c r="D89" i="9"/>
  <c r="H70" i="9"/>
  <c r="I29" i="12" s="1"/>
  <c r="F46" i="9"/>
  <c r="D88" i="9" s="1"/>
  <c r="H60" i="9"/>
  <c r="F70" i="9"/>
  <c r="I28" i="12" s="1"/>
  <c r="F60" i="9"/>
  <c r="J91" i="9"/>
  <c r="V94" i="9"/>
  <c r="U94" i="9"/>
  <c r="T94" i="9"/>
  <c r="K94" i="9"/>
  <c r="G94" i="9"/>
  <c r="J94" i="9"/>
  <c r="I94" i="9"/>
  <c r="F94" i="9"/>
  <c r="H94" i="9"/>
  <c r="E94" i="9"/>
  <c r="V90" i="9"/>
  <c r="W94" i="9"/>
  <c r="V92" i="9"/>
  <c r="U90" i="9"/>
  <c r="R90" i="9"/>
  <c r="T92" i="9"/>
  <c r="S92" i="9"/>
  <c r="R92" i="9"/>
  <c r="I90" i="9"/>
  <c r="J92" i="9"/>
  <c r="U92" i="9"/>
  <c r="J90" i="9"/>
  <c r="P92" i="9"/>
  <c r="I92" i="9"/>
  <c r="P90" i="9"/>
  <c r="K90" i="9"/>
  <c r="F90" i="9"/>
  <c r="H92" i="9"/>
  <c r="K92" i="9"/>
  <c r="M96" i="9"/>
  <c r="L96" i="9"/>
  <c r="D94" i="9"/>
  <c r="W89" i="9"/>
  <c r="I91" i="9"/>
  <c r="V89" i="9"/>
  <c r="P89" i="9"/>
  <c r="F91" i="9"/>
  <c r="W91" i="9"/>
  <c r="J89" i="9"/>
  <c r="AA96" i="9"/>
  <c r="V91" i="9"/>
  <c r="I89" i="9"/>
  <c r="Z96" i="9"/>
  <c r="U91" i="9"/>
  <c r="U89" i="9"/>
  <c r="K89" i="9"/>
  <c r="Y96" i="9"/>
  <c r="R91" i="9"/>
  <c r="X96" i="9"/>
  <c r="P91" i="9"/>
  <c r="O96" i="9"/>
  <c r="K91" i="9"/>
  <c r="N96" i="9"/>
  <c r="W96" i="9"/>
  <c r="K96" i="9"/>
  <c r="I96" i="9"/>
  <c r="J96" i="9"/>
  <c r="G96" i="9"/>
  <c r="V96" i="9"/>
  <c r="U96" i="9"/>
  <c r="T96" i="9"/>
  <c r="H96" i="9"/>
  <c r="S96" i="9"/>
  <c r="S94" i="9"/>
  <c r="W93" i="9"/>
  <c r="R96" i="9"/>
  <c r="F96" i="9"/>
  <c r="R94" i="9"/>
  <c r="V93" i="9"/>
  <c r="Q96" i="9"/>
  <c r="E96" i="9"/>
  <c r="Q94" i="9"/>
  <c r="K93" i="9"/>
  <c r="G92" i="9"/>
  <c r="P96" i="9"/>
  <c r="P94" i="9"/>
  <c r="W92" i="9"/>
  <c r="F92" i="9"/>
  <c r="W90" i="9"/>
  <c r="I93" i="9"/>
  <c r="T93" i="9"/>
  <c r="H93" i="9"/>
  <c r="T91" i="9"/>
  <c r="H91" i="9"/>
  <c r="T90" i="9"/>
  <c r="H90" i="9"/>
  <c r="T89" i="9"/>
  <c r="H89" i="9"/>
  <c r="J93" i="9"/>
  <c r="U93" i="9"/>
  <c r="S93" i="9"/>
  <c r="G93" i="9"/>
  <c r="S91" i="9"/>
  <c r="G91" i="9"/>
  <c r="S90" i="9"/>
  <c r="G90" i="9"/>
  <c r="S89" i="9"/>
  <c r="G89" i="9"/>
  <c r="R93" i="9"/>
  <c r="F93" i="9"/>
  <c r="R89" i="9"/>
  <c r="F89" i="9"/>
  <c r="Q93" i="9"/>
  <c r="E93" i="9"/>
  <c r="Q92" i="9"/>
  <c r="E92" i="9"/>
  <c r="Q91" i="9"/>
  <c r="E91" i="9"/>
  <c r="Q90" i="9"/>
  <c r="E90" i="9"/>
  <c r="Q89" i="9"/>
  <c r="E89" i="9"/>
  <c r="P93" i="9"/>
  <c r="AA94" i="9"/>
  <c r="O94" i="9"/>
  <c r="AA93" i="9"/>
  <c r="O93" i="9"/>
  <c r="AA92" i="9"/>
  <c r="O92" i="9"/>
  <c r="AA91" i="9"/>
  <c r="O91" i="9"/>
  <c r="AA90" i="9"/>
  <c r="O90" i="9"/>
  <c r="AA89" i="9"/>
  <c r="O89" i="9"/>
  <c r="Z94" i="9"/>
  <c r="N94" i="9"/>
  <c r="Z93" i="9"/>
  <c r="N93" i="9"/>
  <c r="Z92" i="9"/>
  <c r="N92" i="9"/>
  <c r="Z91" i="9"/>
  <c r="N91" i="9"/>
  <c r="Z90" i="9"/>
  <c r="N90" i="9"/>
  <c r="Z89" i="9"/>
  <c r="N89" i="9"/>
  <c r="Y94" i="9"/>
  <c r="M94" i="9"/>
  <c r="Y93" i="9"/>
  <c r="M93" i="9"/>
  <c r="Y92" i="9"/>
  <c r="M92" i="9"/>
  <c r="Y91" i="9"/>
  <c r="Y90" i="9"/>
  <c r="M90" i="9"/>
  <c r="Y89" i="9"/>
  <c r="M89" i="9"/>
  <c r="X94" i="9"/>
  <c r="X93" i="9"/>
  <c r="X92" i="9"/>
  <c r="X91" i="9"/>
  <c r="L91" i="9"/>
  <c r="X90" i="9"/>
  <c r="X89" i="9"/>
  <c r="I27" i="12" l="1"/>
  <c r="H72" i="9"/>
  <c r="D7" i="18"/>
  <c r="D29" i="12"/>
  <c r="D12" i="18"/>
  <c r="D24" i="18" s="1"/>
  <c r="I88" i="9"/>
  <c r="I98" i="9" s="1"/>
  <c r="F48" i="9"/>
  <c r="D13" i="18"/>
  <c r="G88" i="9"/>
  <c r="G98" i="9" s="1"/>
  <c r="P88" i="9"/>
  <c r="P98" i="9" s="1"/>
  <c r="Y88" i="9"/>
  <c r="Y98" i="9" s="1"/>
  <c r="S88" i="9"/>
  <c r="S98" i="9" s="1"/>
  <c r="L88" i="9"/>
  <c r="L98" i="9" s="1"/>
  <c r="E88" i="9"/>
  <c r="E98" i="9" s="1"/>
  <c r="H88" i="9"/>
  <c r="H98" i="9" s="1"/>
  <c r="H99" i="9" s="1"/>
  <c r="U88" i="9"/>
  <c r="U98" i="9" s="1"/>
  <c r="AA88" i="9"/>
  <c r="AA98" i="9" s="1"/>
  <c r="M88" i="9"/>
  <c r="M98" i="9" s="1"/>
  <c r="W88" i="9"/>
  <c r="W98" i="9" s="1"/>
  <c r="Q88" i="9"/>
  <c r="Q98" i="9" s="1"/>
  <c r="T88" i="9"/>
  <c r="T98" i="9" s="1"/>
  <c r="F88" i="9"/>
  <c r="F98" i="9" s="1"/>
  <c r="N88" i="9"/>
  <c r="N98" i="9" s="1"/>
  <c r="R88" i="9"/>
  <c r="R98" i="9" s="1"/>
  <c r="Z88" i="9"/>
  <c r="Z98" i="9" s="1"/>
  <c r="D98" i="9"/>
  <c r="X88" i="9"/>
  <c r="X98" i="9" s="1"/>
  <c r="J88" i="9"/>
  <c r="J98" i="9" s="1"/>
  <c r="K88" i="9"/>
  <c r="K98" i="9" s="1"/>
  <c r="O88" i="9"/>
  <c r="O98" i="9" s="1"/>
  <c r="V88" i="9"/>
  <c r="V98" i="9" s="1"/>
  <c r="D5" i="18" l="1"/>
  <c r="D27" i="12"/>
  <c r="D8" i="23"/>
  <c r="G8" i="23" s="1"/>
  <c r="N11" i="12"/>
  <c r="F72" i="9"/>
  <c r="D11" i="18" s="1"/>
  <c r="L99" i="9"/>
  <c r="I99" i="9"/>
  <c r="V99" i="9"/>
  <c r="D14" i="18"/>
  <c r="D99" i="9"/>
  <c r="K99" i="9"/>
  <c r="W99" i="9"/>
  <c r="Q99" i="9"/>
  <c r="O99" i="9"/>
  <c r="N99" i="9"/>
  <c r="J99" i="9"/>
  <c r="G99" i="9"/>
  <c r="T99" i="9"/>
  <c r="Y99" i="9"/>
  <c r="Z99" i="9"/>
  <c r="E99" i="9"/>
  <c r="S99" i="9"/>
  <c r="AA99" i="9"/>
  <c r="U99" i="9"/>
  <c r="M99" i="9"/>
  <c r="F99" i="9"/>
  <c r="P99" i="9"/>
  <c r="X99" i="9"/>
  <c r="R99" i="9"/>
  <c r="D19" i="12" l="1"/>
  <c r="D34" i="23"/>
  <c r="D35" i="23"/>
  <c r="D40" i="23"/>
  <c r="O20" i="12" s="1"/>
  <c r="D36" i="23"/>
  <c r="D34" i="18"/>
  <c r="D27" i="18"/>
  <c r="D43" i="18"/>
  <c r="O16" i="12" l="1"/>
  <c r="O18" i="12"/>
  <c r="D38" i="23"/>
  <c r="O19" i="12" s="1"/>
  <c r="R19" i="12" s="1"/>
  <c r="D38" i="18"/>
  <c r="D40" i="18" s="1"/>
  <c r="N10" i="12" s="1"/>
  <c r="D28" i="13"/>
  <c r="D29" i="13" s="1"/>
  <c r="C29" i="13" s="1"/>
  <c r="K97" i="13"/>
  <c r="K98" i="13"/>
  <c r="K99" i="13"/>
  <c r="K100" i="13"/>
  <c r="K101" i="13"/>
  <c r="K102" i="13"/>
  <c r="K103" i="13"/>
  <c r="K104" i="13"/>
  <c r="K105" i="13"/>
  <c r="K106" i="13"/>
  <c r="Q10" i="12"/>
  <c r="Q7" i="12"/>
  <c r="C6" i="12"/>
  <c r="D6" i="12"/>
  <c r="H5" i="12"/>
  <c r="I5" i="12"/>
  <c r="H14" i="12"/>
  <c r="I14" i="12"/>
  <c r="I13" i="12"/>
  <c r="H13" i="12"/>
  <c r="I11" i="12"/>
  <c r="I12" i="12"/>
  <c r="H11" i="12"/>
  <c r="H12" i="12"/>
  <c r="D13" i="12"/>
  <c r="C13" i="12"/>
  <c r="D11" i="23" l="1"/>
  <c r="H11" i="23" s="1"/>
  <c r="I11" i="23" s="1"/>
  <c r="D20" i="12"/>
  <c r="H36" i="23"/>
  <c r="H34" i="23"/>
  <c r="K107" i="13"/>
  <c r="G50" i="13" l="1"/>
  <c r="G49" i="13"/>
  <c r="G48" i="13"/>
  <c r="F97" i="13" l="1"/>
  <c r="F98" i="13"/>
  <c r="F99" i="13"/>
  <c r="F100" i="13"/>
  <c r="F101" i="13"/>
  <c r="F102" i="13"/>
  <c r="F103" i="13"/>
  <c r="F104" i="13"/>
  <c r="F105" i="13"/>
  <c r="F106" i="13"/>
  <c r="F107" i="13"/>
  <c r="F96" i="13"/>
  <c r="H50" i="23" l="1"/>
  <c r="I50" i="23" l="1"/>
  <c r="H35" i="23" l="1"/>
  <c r="F33" i="23"/>
  <c r="F44" i="23"/>
  <c r="Q33" i="12" s="1"/>
  <c r="R33" i="12" s="1"/>
  <c r="F42" i="23"/>
  <c r="Q28" i="12" s="1"/>
  <c r="R28" i="12" s="1"/>
  <c r="F43" i="23"/>
  <c r="Q32" i="12" s="1"/>
  <c r="R32" i="12" s="1"/>
  <c r="F49" i="23"/>
  <c r="F48" i="23"/>
  <c r="F32" i="23"/>
  <c r="F46" i="23"/>
  <c r="Q35" i="12" s="1"/>
  <c r="R35" i="12" s="1"/>
  <c r="F47" i="23"/>
  <c r="Q36" i="12" s="1"/>
  <c r="R36" i="12" s="1"/>
  <c r="F41" i="23"/>
  <c r="Q21" i="12" s="1"/>
  <c r="R21" i="12" s="1"/>
  <c r="F40" i="23"/>
  <c r="Q20" i="12" s="1"/>
  <c r="R20" i="12" s="1"/>
  <c r="F45" i="23"/>
  <c r="Q29" i="12" s="1"/>
  <c r="R29" i="12" s="1"/>
  <c r="F39" i="23"/>
  <c r="Q27" i="12" s="1"/>
  <c r="F16" i="23"/>
  <c r="F17" i="23"/>
  <c r="F18" i="23"/>
  <c r="F19" i="23"/>
  <c r="F20" i="23"/>
  <c r="F21" i="23"/>
  <c r="F22" i="23"/>
  <c r="F23" i="23"/>
  <c r="F24" i="23"/>
  <c r="F25" i="23"/>
  <c r="F26" i="23"/>
  <c r="R27" i="12" l="1"/>
  <c r="Q31" i="12"/>
  <c r="R31" i="12" s="1"/>
  <c r="H41" i="23"/>
  <c r="H33" i="23"/>
  <c r="H39" i="23"/>
  <c r="I35" i="23"/>
  <c r="H32" i="23"/>
  <c r="H20" i="23"/>
  <c r="H25" i="23"/>
  <c r="H22" i="23"/>
  <c r="H26" i="23"/>
  <c r="H18" i="23"/>
  <c r="H17" i="23"/>
  <c r="H24" i="23"/>
  <c r="H16" i="23"/>
  <c r="H23" i="23"/>
  <c r="I34" i="23"/>
  <c r="H19" i="23"/>
  <c r="H21" i="23"/>
  <c r="I36" i="23" l="1"/>
  <c r="R18" i="12" s="1"/>
  <c r="I41" i="23"/>
  <c r="I39" i="23"/>
  <c r="I32" i="23"/>
  <c r="I19" i="23"/>
  <c r="I20" i="23"/>
  <c r="I21" i="23"/>
  <c r="I16" i="23"/>
  <c r="I26" i="23"/>
  <c r="I23" i="23"/>
  <c r="I17" i="23"/>
  <c r="I25" i="23"/>
  <c r="I18" i="23"/>
  <c r="I24" i="23"/>
  <c r="I22" i="23"/>
  <c r="F37" i="23" l="1"/>
  <c r="Q22" i="12" s="1"/>
  <c r="R22" i="12" s="1"/>
  <c r="H46" i="23"/>
  <c r="H47" i="23"/>
  <c r="H27" i="23"/>
  <c r="H15" i="23"/>
  <c r="F10" i="23"/>
  <c r="J20" i="13"/>
  <c r="J21" i="13" s="1"/>
  <c r="F30" i="13"/>
  <c r="F31" i="13"/>
  <c r="F32" i="13"/>
  <c r="F33" i="13"/>
  <c r="F34" i="13"/>
  <c r="F35" i="13"/>
  <c r="F36" i="13"/>
  <c r="F37" i="13"/>
  <c r="F38" i="13"/>
  <c r="F39" i="13"/>
  <c r="F40" i="13"/>
  <c r="F29" i="13"/>
  <c r="C17" i="12"/>
  <c r="C18" i="12"/>
  <c r="D5" i="12"/>
  <c r="H17" i="12"/>
  <c r="I17" i="12"/>
  <c r="K92" i="13"/>
  <c r="D14" i="12"/>
  <c r="D12" i="12"/>
  <c r="D26" i="12"/>
  <c r="D11" i="12"/>
  <c r="C5" i="12"/>
  <c r="C14" i="12"/>
  <c r="C12" i="12"/>
  <c r="C26" i="12"/>
  <c r="I46" i="23" l="1"/>
  <c r="I47" i="23"/>
  <c r="Q9" i="12"/>
  <c r="D6" i="18"/>
  <c r="I15" i="23"/>
  <c r="J22" i="13"/>
  <c r="I27" i="23"/>
  <c r="H48" i="23"/>
  <c r="H49" i="23"/>
  <c r="J24" i="13" l="1"/>
  <c r="D50" i="18" s="1"/>
  <c r="J25" i="13"/>
  <c r="D51" i="18" s="1"/>
  <c r="H42" i="23"/>
  <c r="D10" i="18"/>
  <c r="D9" i="18"/>
  <c r="D8" i="18"/>
  <c r="H43" i="23"/>
  <c r="I48" i="23"/>
  <c r="H40" i="23"/>
  <c r="I49" i="23"/>
  <c r="H44" i="23"/>
  <c r="I42" i="23" l="1"/>
  <c r="I33" i="23"/>
  <c r="R16" i="12" s="1"/>
  <c r="I44" i="23"/>
  <c r="I40" i="23"/>
  <c r="I43" i="23"/>
  <c r="H37" i="23"/>
  <c r="H38" i="23"/>
  <c r="H45" i="23"/>
  <c r="D95" i="13" l="1"/>
  <c r="D96" i="13" s="1"/>
  <c r="I45" i="23"/>
  <c r="I37" i="23"/>
  <c r="I38" i="23"/>
  <c r="I51" i="23" l="1"/>
  <c r="D47" i="13"/>
  <c r="D57" i="13"/>
  <c r="D59" i="13" s="1"/>
  <c r="D60" i="13" s="1"/>
  <c r="D61" i="13" s="1"/>
  <c r="D48" i="13" l="1"/>
  <c r="C48" i="13" s="1"/>
  <c r="D50" i="13"/>
  <c r="C50" i="13" s="1"/>
  <c r="O10" i="12"/>
  <c r="R10" i="12" s="1"/>
  <c r="D17" i="12"/>
  <c r="D100" i="13"/>
  <c r="C100" i="13" s="1"/>
  <c r="D49" i="13"/>
  <c r="C49" i="13" s="1"/>
  <c r="O11" i="12" l="1"/>
  <c r="R11" i="12" s="1"/>
  <c r="D13" i="23"/>
  <c r="H13" i="23" s="1"/>
  <c r="D51" i="13"/>
  <c r="D52" i="13" s="1"/>
  <c r="D46" i="18" s="1"/>
  <c r="I8" i="23"/>
  <c r="O7" i="12"/>
  <c r="R7" i="12" s="1"/>
  <c r="D39" i="13"/>
  <c r="C39" i="13" s="1"/>
  <c r="D98" i="13"/>
  <c r="C98" i="13" s="1"/>
  <c r="D36" i="13"/>
  <c r="C36" i="13" s="1"/>
  <c r="D104" i="13"/>
  <c r="C104" i="13" s="1"/>
  <c r="D33" i="13"/>
  <c r="C33" i="13" s="1"/>
  <c r="D30" i="13"/>
  <c r="C30" i="13" s="1"/>
  <c r="D31" i="13"/>
  <c r="C31" i="13" s="1"/>
  <c r="D107" i="13"/>
  <c r="C107" i="13" s="1"/>
  <c r="D35" i="13"/>
  <c r="C35" i="13" s="1"/>
  <c r="D105" i="13"/>
  <c r="C105" i="13" s="1"/>
  <c r="D37" i="13"/>
  <c r="C37" i="13" s="1"/>
  <c r="D38" i="13"/>
  <c r="C38" i="13" s="1"/>
  <c r="D99" i="13"/>
  <c r="C99" i="13" s="1"/>
  <c r="D106" i="13"/>
  <c r="C106" i="13" s="1"/>
  <c r="D102" i="13"/>
  <c r="C102" i="13" s="1"/>
  <c r="D101" i="13"/>
  <c r="C101" i="13" s="1"/>
  <c r="D97" i="13"/>
  <c r="C97" i="13" s="1"/>
  <c r="D40" i="13"/>
  <c r="C40" i="13" s="1"/>
  <c r="D32" i="13"/>
  <c r="C32" i="13" s="1"/>
  <c r="D34" i="13"/>
  <c r="C34" i="13" s="1"/>
  <c r="D103" i="13"/>
  <c r="C103" i="13" s="1"/>
  <c r="D41" i="13" l="1"/>
  <c r="D43" i="13" s="1"/>
  <c r="D29" i="18" s="1"/>
  <c r="N8" i="12" s="1"/>
  <c r="D53" i="13"/>
  <c r="D45" i="18" s="1"/>
  <c r="I13" i="23"/>
  <c r="F9" i="23" l="1"/>
  <c r="D42" i="13"/>
  <c r="D30" i="18" s="1"/>
  <c r="D54" i="18" s="1"/>
  <c r="D62" i="18" s="1"/>
  <c r="D63" i="18" s="1"/>
  <c r="D64" i="18" s="1"/>
  <c r="D54" i="13"/>
  <c r="D47" i="18" s="1"/>
  <c r="D10" i="23"/>
  <c r="F12" i="23" l="1"/>
  <c r="H12" i="23" s="1"/>
  <c r="I12" i="23" s="1"/>
  <c r="I18" i="12"/>
  <c r="N9" i="12"/>
  <c r="D18" i="12"/>
  <c r="D55" i="18"/>
  <c r="D56" i="18" s="1"/>
  <c r="D61" i="18"/>
  <c r="D58" i="18"/>
  <c r="D44" i="13"/>
  <c r="D28" i="18" s="1"/>
  <c r="D9" i="23"/>
  <c r="D14" i="23" s="1"/>
  <c r="O9" i="12"/>
  <c r="R9" i="12" s="1"/>
  <c r="H10" i="23"/>
  <c r="D23" i="13" l="1"/>
  <c r="C23" i="13" s="1"/>
  <c r="Q8" i="12"/>
  <c r="O8" i="12"/>
  <c r="H14" i="23"/>
  <c r="H9" i="23"/>
  <c r="I10" i="23"/>
  <c r="I89" i="13" l="1"/>
  <c r="J89" i="13" s="1"/>
  <c r="K89" i="13" s="1"/>
  <c r="I8" i="13" s="1"/>
  <c r="R8" i="12"/>
  <c r="I14" i="23"/>
  <c r="Q37" i="12" s="1"/>
  <c r="R37" i="12" s="1"/>
  <c r="I9" i="23"/>
  <c r="I28" i="23" l="1"/>
  <c r="I53" i="23" s="1"/>
  <c r="I9" i="13"/>
  <c r="I14" i="13"/>
  <c r="I15" i="13"/>
  <c r="I10" i="13"/>
  <c r="I11" i="13"/>
  <c r="I12" i="13"/>
  <c r="I13" i="13"/>
  <c r="I7" i="13"/>
  <c r="I5" i="13"/>
  <c r="I6" i="13"/>
  <c r="D18" i="13"/>
  <c r="C18" i="13" s="1"/>
  <c r="D21" i="13"/>
  <c r="C21" i="13" s="1"/>
  <c r="D17" i="13"/>
  <c r="C17" i="13" s="1"/>
  <c r="D22" i="13"/>
  <c r="C22" i="13" s="1"/>
  <c r="D16" i="13"/>
  <c r="C16" i="13" s="1"/>
  <c r="D19" i="13"/>
  <c r="C19" i="13" s="1"/>
  <c r="D20" i="13"/>
  <c r="C20" i="13" s="1"/>
  <c r="D9" i="13"/>
  <c r="C9" i="13" s="1"/>
  <c r="D10" i="13"/>
  <c r="C10" i="13" s="1"/>
  <c r="D7" i="13"/>
  <c r="C7" i="13" s="1"/>
  <c r="D5" i="13"/>
  <c r="C5" i="13" s="1"/>
  <c r="D6" i="13"/>
  <c r="C6" i="13" s="1"/>
  <c r="D8" i="13"/>
  <c r="C8" i="13" s="1"/>
  <c r="D11" i="13"/>
  <c r="C11" i="13" s="1"/>
  <c r="F5" i="23" l="1"/>
  <c r="O38" i="12"/>
  <c r="D24" i="13"/>
  <c r="J17" i="13"/>
  <c r="L89" i="13" s="1"/>
  <c r="D70" i="18" s="1"/>
  <c r="D12" i="13"/>
  <c r="D13" i="13" s="1"/>
  <c r="D57" i="18" s="1"/>
  <c r="C96" i="13"/>
  <c r="D108" i="13" s="1"/>
  <c r="D110" i="13" s="1"/>
  <c r="P44" i="12" l="1"/>
  <c r="D25" i="13"/>
  <c r="D65" i="18" s="1"/>
  <c r="D109" i="13"/>
  <c r="D111" i="13" s="1"/>
  <c r="D23" i="12" l="1"/>
  <c r="I23" i="12" s="1"/>
</calcChain>
</file>

<file path=xl/sharedStrings.xml><?xml version="1.0" encoding="utf-8"?>
<sst xmlns="http://schemas.openxmlformats.org/spreadsheetml/2006/main" count="1278" uniqueCount="599">
  <si>
    <t>Solar Mini Grid (SMG) Initial System Planning Tool</t>
  </si>
  <si>
    <t>सौर्य मिनी ग्रिड (एसएमजी) प्राथमिक प्रणाली योजना</t>
  </si>
  <si>
    <t>Version:</t>
  </si>
  <si>
    <t>1.0</t>
  </si>
  <si>
    <t>Developer:</t>
  </si>
  <si>
    <t>Ajay Thapa</t>
  </si>
  <si>
    <t>About</t>
  </si>
  <si>
    <t>This design workbook serves as a basic sizing tool to estimate the key SMG component sizes and system costs. It shall not be used for detail design and costing.</t>
  </si>
  <si>
    <t>The designer (or the user) shall only have to enter project data in the 'Inputs' sheet. All other sheets are interlinked and a report is generated in the 'Report' sheet. The designer may update the pricing in the 'Price reference 1' sheet.</t>
  </si>
  <si>
    <t>The designer may select the Balance of Systems of their choice with simple Yes/No function in the 'Inputs' sheet. This will result in inclusion or exclusion of the component in the BoQ.</t>
  </si>
  <si>
    <t xml:space="preserve">The rates used in the SMG tool are taken as reference from AEPC implemented projects.The designer should change the rate of equipments as per the district rates or Quotations received from the installer companies to prepare the BoQ. </t>
  </si>
  <si>
    <t>यस tools मा प्रयोग भएका दररेटहरु बैकल्पिक उर्जा प्रबर्धन केन्द्रबाट कार्यान्वयन भएका योजनाहरु बाट साभार गरिएको हो।तर  डिजाइनरले BoQ तयार गर्दा प्रचलित जिल्ला दररेटहरु वा जडान कम्पनीहरुबाट Quotation लिई उपकरणहरुको प्रति एकाइ दररेट राख्नुपर्छ।</t>
  </si>
  <si>
    <t>The length of the cable when it is unknown can be calculate with two methods: "The method by connection" and "The method by capacity". The choice of the method can be choose in the Design sheet.</t>
  </si>
  <si>
    <t>Limitations</t>
  </si>
  <si>
    <t xml:space="preserve">The design can not be used for detailed feasibility study of the projects. </t>
  </si>
  <si>
    <t>यो डिजाइन tool कुनै पनि सौर्य मिनी-ग्रिड आयोजनाको विस्तृत सम्भाव्यता अध्ययनका लागि  प्रयोग गर्न सकिँदैन।</t>
  </si>
  <si>
    <t>The cost of the materials have been included for reference purpose only and not as per the current district rate. The pricelist section must be updated every year and a separate window to enter the pricelist of indicated items must be there in the web design</t>
  </si>
  <si>
    <t xml:space="preserve">The design consist of only the electrical part of the solar mini-grid, the civil components like powerhouse construction, mounting poles, etc are not considered. </t>
  </si>
  <si>
    <t>यो डिजाइनले  सोलर मिनी-ग्रिडको केवल विद्युतीय अंशलाई मात्र समावेश गर्दछ, विद्युतगृह निर्माण, माउन्टिङ पोल आदि जस्ता सिभिल कम्पोनेन्टहरू समावेश गरिएको छैन।</t>
  </si>
  <si>
    <t>The size of the inverters above 25kW will have inverters size with respect to closest value of multiples of 25kW size inverter only.</t>
  </si>
  <si>
    <t xml:space="preserve">२५ कि. वा. भन्दा माथिको इन्भर्टरको साईज़मा २५ कि. वा.  साईज़को इन्भर्टरको गुणकको निकटतम मानको सन्दर्भमा  इन्भर्टरको साईज़ हुनेछ। </t>
  </si>
  <si>
    <t>The transporation cost for the goods are not considered, the transporation cost may vary as per the geographic location where there may be use of air-lifting. Also, the cost of services is not included in the BoQ sheet.</t>
  </si>
  <si>
    <t xml:space="preserve">यस tool मा मालसामानको ढुवानी लागत र सेवाहरूको लागत समावेस गरिएको छैन ।  भौगोलिक स्थान अनुसार हवाई  ढुवानी प्रयोग हुन सक्ने भएकोले  लागत फरक हुन सक्छ। </t>
  </si>
  <si>
    <t>Assumptions</t>
  </si>
  <si>
    <t>The peak sun hours used for the system design is 4.5 kWh/m2 per day; Losses calculated as 30%</t>
  </si>
  <si>
    <t>प्रणालीको  डिजाइनका लागि प्रयोग गरिएको उच्चतम सूर्यको घण्टा 4.5 kWh/m2 प्रतिदिन लिईएको छ। घाटा  30% को रुपमा  गणना गरिएको छ।</t>
  </si>
  <si>
    <t>Minor Components like nut bolts, cable ties, washers, glands, tapes, conduits etc. are taken in Lump sum</t>
  </si>
  <si>
    <t>साना सामाग्रीहरु  जस्तै नट बोल्ट, केबल टाई, वाशर, ग्रन्थी, टेप, कन्ड्युट्स आदि एकमुष्टमा लिईएको छ ।</t>
  </si>
  <si>
    <t>A contingency of 10% is added before VAT to the total system cost.</t>
  </si>
  <si>
    <t>कुल प्रणाली लागतमा मूल्य अभिवृद्धि करअघि १०% को आकस्मिकता थपिएको छ।</t>
  </si>
  <si>
    <t>This design consider only single faced PV modules only.</t>
  </si>
  <si>
    <t>यो डिजाइनले एकल फेस गरिएको PV मोड्युललाई मात्र विचार गर्छ ।</t>
  </si>
  <si>
    <t>Site Selection Parameters</t>
  </si>
  <si>
    <t>Availability of Solar Resource:
1. Global Horizontal Irradiance (GHI) with more than 4.5 kWh/m^2 shoule be considered to have higher energy yield.
2. GHI value should be validated from freely available or commercially available meteorological data sources for different chosen sites</t>
  </si>
  <si>
    <t>सौर्य स्रोतको उपलब्धता:
1. 4.5 kWh/m2 भन्दा बढी भएको ग्लोबल होरिजन्टल विकिरण (GHI) लाई उच्च ऊर्जा उपज भएको मानिन्छ।
2. GHI मान स्वतन्त्र रूपमा उपलब्ध वा व्यावसायिक रूपमा उपलब्ध मौसमी आँकडा स्रोतहरूबाट मान्यतापूर्वक प्रमाणित गर्नुपर्छ।</t>
  </si>
  <si>
    <t>Shading:
1. Far Shading: Shading due to hills or mountains or building on the far horizon should be avoided.
2. Near Shading: Shading due to nearby trees, building, structures, overhead cabling should be avoided.</t>
  </si>
  <si>
    <t>छायांकन
1. दूरीबाट आएको छायांकन: दूरीबाट आएका पहाड, हिमाल, वा टाढा क्षितिजमा भवनको कारण छाया हुनबाट जोगिनु पर्छ।
2. नजिकबाट आएको छायांकन: नजिकैको रुख, भवन, संरचना, ओभरहेड केबलिङको कारणले छायाँ लगाउनु हुँदैन।</t>
  </si>
  <si>
    <t>Availability of Land Area:
1. Should have sufficient space to accommodate the required capacity to be installed.
2. Typically require about 7 to 10 m2 per kWp for relatively flat land and depends on two factors:
a. Type of solar PV technology chosen (PolyCrystalline or MonoCrystalline or HIT or Thin Film).
b. Land Shape and slope, tilt angle and shading.</t>
  </si>
  <si>
    <t>जग्गाको उपलब्धता:
1. आवश्यक क्षमताको प्रणाली जडान गर्नलाई पर्याप्त जग्गा उपलब्ध हुनुपर्छ।
2. साधारणतया समतल जग्गाका लागि प्रति किलोवाट पिक (kWp) लाग्ने लगभग 7 देखि 10 वर्गमीटरको क्षेत्र आवश्यक हुन्छ र यसले दुई कारकमा निर्भर गर्दछ:
a.सौर्य PV प्रविधिको प्रकार (PolyCrystalline वा MonoCrystalline वा HIT वा Thin film).
b.जग्गाको आकार, झुकावको कोण, टिल्ट कोण र छायांकन</t>
  </si>
  <si>
    <t>Topography and Orientation:
1.Land should have a good southern exposure without significant shading. 
2.Sites that are flat or slope towards the south are ideal.</t>
  </si>
  <si>
    <t>भूगोल र दिशा:
1. जग्गा महत्त्वपूर्ण छाया बिना दक्षिणी मोहोडा फर्केको हुनुपर्दछ 
2. दक्षिणतिर समतल वा ढल्किएको स्थानहरू उपयुक्त हुन्छन ।</t>
  </si>
  <si>
    <t xml:space="preserve">Accessibility:
1. Shortest possible distance should be chosen from project site to access road and highway.
2. Quality of existing roads or new proposed construction roads should be carefully considered for the transportation of equipment (by vehicle or by porter).
3. There should not be the access of grid electricity for at least three years for the installation of solar mini-grid project. </t>
  </si>
  <si>
    <t xml:space="preserve">पहुँच:
1. आयोजना स्थलबाट सडक र राजमार्गमा पुग्नको लागि सबैभन्दा छोटो दूरी छनोट गर्नुपर्छ।
2. उपकरणको ढुवानी (गाडी वा भरिया द्वारा) को लागि अवस्थित सडक वा नयाँ प्रस्तावित सडकहरूको गुणस्तर सावधानीपूर्वक विचार गर्नुपर्छ।
3.सोलार मिनी ग्रिड आयोजना स्थापनाका लागि कम्तिमा तीन वर्षसम्म राष्ट्रिय प्रसारण विद्युतको पहुँच नहुने स्थान हुनु पर्नेछ। </t>
  </si>
  <si>
    <t>Climatic Characterstics:
1. Flooding: Flood risk assessment mainly to the powerhouse, erosion of mounting structure and foundations.
2. Wind Speed: Sites with high wind speed should be avoided.
3. Snow: 
a. Sites prone to regular covering of snow areas should be avoided.
b. For low snow areas, the design of array mounting structures should consider the extra weight of snow.
4. Landslide: The area prone to landslide mainly to the powerhouse, mounting structure should be ignored.</t>
  </si>
  <si>
    <t>जलवायुगत विशेषताहरू:
1. बाढी: बाढी जोखिम मूल्याङ्कन मुख्यतया पावरहाउस, माउन्टिंग संरचना र जगको क्षरण।
2. हावाको गति: उच्च हावाको गति भएका स्थलहरूलाई बेवास्ता गर्नुपर्छ।
3. हिउँ: 
a. नियमित रूपमा हिउँले ढाकिएको क्षेत्रहरूलाई बेवास्ता गर्नुपर्छ।
b. हिउँपर्ने क्षेत्रहरूका लागि, Array माउन्टिंग संरचनाको डिजाइनले हिउँको अतिरिक्त वजनलाई महत्व दिनुपर्छ।
4. सोलार Array लोकेसन र पावर हाउस क्षेत्रहरू लाई पहिरो प्रवण क्षेत्रहरू चयन गर्न बाट जोगाउनु पर्छ।</t>
  </si>
  <si>
    <t>Legend</t>
  </si>
  <si>
    <t>Inputs to be provided by the user</t>
  </si>
  <si>
    <t>प्रयोगकर्ताद्वारा प्रदान गरिने इनपुटहरू</t>
  </si>
  <si>
    <t>Dropdown options</t>
  </si>
  <si>
    <t>ड्रपडाउन विकल्पहरू</t>
  </si>
  <si>
    <t>Linked cells</t>
  </si>
  <si>
    <t>लिङ्क गरिएका cells</t>
  </si>
  <si>
    <t xml:space="preserve">This tool was produced with funding from the Federal Ministry for Economic Cooperation and Development (BMZ), Germany 
through Deutsche Gesellschaft für Internationale Zusammenarbeit (GIZ) GmbH. </t>
  </si>
  <si>
    <t xml:space="preserve">Published by </t>
  </si>
  <si>
    <t>The Government of Nepal</t>
  </si>
  <si>
    <t xml:space="preserve">Ministry of Energy, Water Resources and Irrigation </t>
  </si>
  <si>
    <t>Alternative Energy Promotion Centre (AEPC)</t>
  </si>
  <si>
    <t>Mid Baneshwor, Post Box No.: 14364, Kathmandu, Nepal Tel: +977-1-4498013/4498014</t>
  </si>
  <si>
    <t>Email: info@aepc.gov.np</t>
  </si>
  <si>
    <t xml:space="preserve">Web: www.aepc.gov.np </t>
  </si>
  <si>
    <t>With support of</t>
  </si>
  <si>
    <t>Deutsche Gesellschaft für Internationale Zusammenarbeit (GIZ) GmbH</t>
  </si>
  <si>
    <t>Promotion of Solar Technologies for Economic Development (POSTED) NTNC Complex, Khumaltar, Lalitpur, Nepal</t>
  </si>
  <si>
    <t>P.O. Box 1457, Kathmandu, Nepal</t>
  </si>
  <si>
    <t>Tel: +977 1 5555 289, 5538 129</t>
  </si>
  <si>
    <t xml:space="preserve">Email: posted@giz.de </t>
  </si>
  <si>
    <t>Developed by</t>
  </si>
  <si>
    <t xml:space="preserve">Integration Umwelt &amp; Energie GmbH, Germany </t>
  </si>
  <si>
    <t>Author: Ajay Thapa</t>
  </si>
  <si>
    <t>Review: Kushal Gautam, Muhammed Imran, Nipun Regmi</t>
  </si>
  <si>
    <t>Layout: Muhammed Imran</t>
  </si>
  <si>
    <t>Password</t>
  </si>
  <si>
    <t>AEPC-POSTED-SMG-AT</t>
  </si>
  <si>
    <t>Inputs</t>
  </si>
  <si>
    <t>इनपुटहरू</t>
  </si>
  <si>
    <t>Benificiary Information</t>
  </si>
  <si>
    <t xml:space="preserve">प्रयोगकर्ताको जानकारी </t>
  </si>
  <si>
    <t>Name of User Committee/Cooperative/ Local Government</t>
  </si>
  <si>
    <t>उपभोक्ता समिति/सहकारी/स्थानीय सरकारको पुरा नाम</t>
  </si>
  <si>
    <t>No. Beneficiaries Households</t>
  </si>
  <si>
    <t>लाभान्वितहरुको घरधुरी संख्या</t>
  </si>
  <si>
    <t>Name of Chairperson</t>
  </si>
  <si>
    <t xml:space="preserve">अध्यक्षको नाम र थर </t>
  </si>
  <si>
    <t>Mobile No.</t>
  </si>
  <si>
    <t>मोबाइल नम्बर (कृपया १० अक्षरको आफ्नो मोबाईल नम्बर राख्नुहोस)</t>
  </si>
  <si>
    <t>Province</t>
  </si>
  <si>
    <t xml:space="preserve">प्रदेश </t>
  </si>
  <si>
    <t>District</t>
  </si>
  <si>
    <t xml:space="preserve">जिल्ला </t>
  </si>
  <si>
    <t>R/Municipality</t>
  </si>
  <si>
    <t>गाउँपालिका/नगरपालिका</t>
  </si>
  <si>
    <t>Ward no.</t>
  </si>
  <si>
    <t>वार्ड नं</t>
  </si>
  <si>
    <t>Tole name</t>
  </si>
  <si>
    <t>टोलको  नाम</t>
  </si>
  <si>
    <t>Designer Information</t>
  </si>
  <si>
    <t>डिजाइनरको विवरण</t>
  </si>
  <si>
    <t>Name of Designer</t>
  </si>
  <si>
    <t>डिजाइन गर्ने  व्यक्तिको  पूरा नाम</t>
  </si>
  <si>
    <t>Designation</t>
  </si>
  <si>
    <t>Engineer</t>
  </si>
  <si>
    <t>डिजाइन गर्ने  व्यक्तिको पद</t>
  </si>
  <si>
    <t>Organization</t>
  </si>
  <si>
    <t>कार्यालयको नाम</t>
  </si>
  <si>
    <t>Date</t>
  </si>
  <si>
    <t>मिति</t>
  </si>
  <si>
    <t>डिजाइन इनपुटहरू</t>
  </si>
  <si>
    <t>Proximity to nearest Three Phase NEA Grid (Km)</t>
  </si>
  <si>
    <t>राष्ट्रिय प्रसारण लाईनको  निकटता</t>
  </si>
  <si>
    <t>NEA grid supply phase</t>
  </si>
  <si>
    <t>Three Phase</t>
  </si>
  <si>
    <t>राष्ट्रिय प्रसारण लाईनको आपूर्ति फेज</t>
  </si>
  <si>
    <t>राष्ट्रिय प्रसारण लाईनको आपूर्ति भोल्टेज</t>
  </si>
  <si>
    <t>Distance between PV Array and Proposed Powerhouse location(m)</t>
  </si>
  <si>
    <t>सौर्य पाता र प्रस्तावित पावरहाउस स्थान बीचको दूरी (मि)</t>
  </si>
  <si>
    <t>Power house to first pole (m)</t>
  </si>
  <si>
    <t>पावरहाउस देखि पहिलो पोलसम्मको दुरी (मी)</t>
  </si>
  <si>
    <t>Length for the Transmission and Distribution</t>
  </si>
  <si>
    <t>प्रसारण र वितरणको लम्बाइ (मी)</t>
  </si>
  <si>
    <t>Known length for the Transmission and Distribution (m)</t>
  </si>
  <si>
    <t>प्रसारण र वितरणको लम्बाइ (मि)</t>
  </si>
  <si>
    <t>Estimated length for the Transmission and Distribution (m)</t>
  </si>
  <si>
    <t>प्रसारण र वितरणको लागि अनुमानित लम्बाइ (मी)</t>
  </si>
  <si>
    <t>Do you know the total power demand and energy demand ?</t>
  </si>
  <si>
    <t>NO</t>
  </si>
  <si>
    <t>के तपाईलाई कुल बिजुलीको माग र उर्जाको माग थाहा छ?</t>
  </si>
  <si>
    <t>Total power demand (kW)</t>
  </si>
  <si>
    <t>Total energy demand (kWh)</t>
  </si>
  <si>
    <t>Household Demand</t>
  </si>
  <si>
    <t>Household Equipments</t>
  </si>
  <si>
    <t>No.</t>
  </si>
  <si>
    <t>Watt</t>
  </si>
  <si>
    <t>Total watts</t>
  </si>
  <si>
    <t>Hours</t>
  </si>
  <si>
    <t>Watt hour</t>
  </si>
  <si>
    <t>Enter No. of Bulbs Required</t>
  </si>
  <si>
    <t>Television</t>
  </si>
  <si>
    <t>Mobile Charger</t>
  </si>
  <si>
    <t>Radio</t>
  </si>
  <si>
    <t>Dish Home</t>
  </si>
  <si>
    <t>Desktop Computer</t>
  </si>
  <si>
    <t>Total W/Hh</t>
  </si>
  <si>
    <t>Total kWh</t>
  </si>
  <si>
    <t>Total Number of Households in the community</t>
  </si>
  <si>
    <t>Total Household Demand</t>
  </si>
  <si>
    <t>kW</t>
  </si>
  <si>
    <t>kWh</t>
  </si>
  <si>
    <t>Productive Energy Use Load Demand</t>
  </si>
  <si>
    <t>Productive Equipments</t>
  </si>
  <si>
    <t>Agro Processing Mills</t>
  </si>
  <si>
    <t>Saw Mills</t>
  </si>
  <si>
    <t>Mobile Shops</t>
  </si>
  <si>
    <t>Tailoring Business</t>
  </si>
  <si>
    <t>Grill Udhyog</t>
  </si>
  <si>
    <t>Private Clinic</t>
  </si>
  <si>
    <t>Bakery Udhyog</t>
  </si>
  <si>
    <t>Poultary Farm</t>
  </si>
  <si>
    <t>Total PEU kWh</t>
  </si>
  <si>
    <t>Public Energy Use Load Demand</t>
  </si>
  <si>
    <t>Healthpost</t>
  </si>
  <si>
    <t>Schools</t>
  </si>
  <si>
    <t>Street Lights</t>
  </si>
  <si>
    <t>Total number of government offices</t>
  </si>
  <si>
    <t>Temples</t>
  </si>
  <si>
    <t>Community Building</t>
  </si>
  <si>
    <t>Total Daily Load</t>
  </si>
  <si>
    <r>
      <t xml:space="preserve">Usage timetable – </t>
    </r>
    <r>
      <rPr>
        <b/>
        <sz val="14"/>
        <color rgb="FFFFFF00"/>
        <rFont val="Arial"/>
        <family val="2"/>
      </rPr>
      <t>Use only if required</t>
    </r>
  </si>
  <si>
    <t>0-1</t>
  </si>
  <si>
    <t>1-2</t>
  </si>
  <si>
    <t>2-3</t>
  </si>
  <si>
    <t>3-4</t>
  </si>
  <si>
    <t>4-5</t>
  </si>
  <si>
    <t>5-6</t>
  </si>
  <si>
    <t>6-7</t>
  </si>
  <si>
    <t>7-8</t>
  </si>
  <si>
    <t>8-9</t>
  </si>
  <si>
    <t>9-10</t>
  </si>
  <si>
    <t>10-11</t>
  </si>
  <si>
    <t>11-12</t>
  </si>
  <si>
    <t>12-13</t>
  </si>
  <si>
    <t>13-14</t>
  </si>
  <si>
    <t>14-15</t>
  </si>
  <si>
    <t>15-16</t>
  </si>
  <si>
    <t>16-17</t>
  </si>
  <si>
    <t>17-18</t>
  </si>
  <si>
    <t>18-19</t>
  </si>
  <si>
    <t>19-20</t>
  </si>
  <si>
    <t>20-21</t>
  </si>
  <si>
    <t>21-22</t>
  </si>
  <si>
    <t>22-23</t>
  </si>
  <si>
    <t>23-0</t>
  </si>
  <si>
    <t>Household loads</t>
  </si>
  <si>
    <t>Total watts (W)</t>
  </si>
  <si>
    <t>Total watt-hour (Wh)</t>
  </si>
  <si>
    <t xml:space="preserve"> </t>
  </si>
  <si>
    <t>S.No</t>
  </si>
  <si>
    <t xml:space="preserve">Basic Solar Minigrid Design </t>
  </si>
  <si>
    <t>BOQ Summary</t>
  </si>
  <si>
    <t>Single Line Diagram (SLD)</t>
  </si>
  <si>
    <t>Power Generation</t>
  </si>
  <si>
    <t>List of Items</t>
  </si>
  <si>
    <t>Quantity</t>
  </si>
  <si>
    <t>Unit</t>
  </si>
  <si>
    <t>Unit Price</t>
  </si>
  <si>
    <t xml:space="preserve">Total </t>
  </si>
  <si>
    <t>Disclaimer</t>
  </si>
  <si>
    <t>This basic design serves to estimate the key SMG component sizes and  system costs. 
It shall not be used  for detail design and costing.</t>
  </si>
  <si>
    <t>kWp</t>
  </si>
  <si>
    <t>Npr</t>
  </si>
  <si>
    <t>Notes from Designer</t>
  </si>
  <si>
    <t>Nos</t>
  </si>
  <si>
    <t>General Information</t>
  </si>
  <si>
    <t>Name of Beneficiary</t>
  </si>
  <si>
    <t>Transmission and Distribution</t>
  </si>
  <si>
    <t>Poles</t>
  </si>
  <si>
    <t>Technical  Information</t>
  </si>
  <si>
    <t>Steel Poles</t>
  </si>
  <si>
    <t>Cables</t>
  </si>
  <si>
    <t>Total Transmission and Distribution Length</t>
  </si>
  <si>
    <t>Mtrs</t>
  </si>
  <si>
    <t>Proximity of NEA grid</t>
  </si>
  <si>
    <t>Kms</t>
  </si>
  <si>
    <t>Stay Set</t>
  </si>
  <si>
    <t>Total Battery Bank Capacity Required (kWh)</t>
  </si>
  <si>
    <t>Lighting Arrestor</t>
  </si>
  <si>
    <t>Cost of System</t>
  </si>
  <si>
    <t>Ladder</t>
  </si>
  <si>
    <t>NPR</t>
  </si>
  <si>
    <t>Demand information</t>
  </si>
  <si>
    <t>Service Lines for single phase and 3 Phase Customers</t>
  </si>
  <si>
    <t>HH</t>
  </si>
  <si>
    <t>Nos.</t>
  </si>
  <si>
    <t>Single Phase User</t>
  </si>
  <si>
    <t>Household peak load demand</t>
  </si>
  <si>
    <t>Productive energy demand</t>
  </si>
  <si>
    <t>Service Wires</t>
  </si>
  <si>
    <t>Household energy demand</t>
  </si>
  <si>
    <t>Public peak load demand</t>
  </si>
  <si>
    <t>Meter Box 5 A</t>
  </si>
  <si>
    <t>Productive peak load demand</t>
  </si>
  <si>
    <t>Public energy demand</t>
  </si>
  <si>
    <t>MCB 6 A</t>
  </si>
  <si>
    <t>3 Phase Customers(PEUs)</t>
  </si>
  <si>
    <t>Meter Box 16 A</t>
  </si>
  <si>
    <t>Meter Box 32 A</t>
  </si>
  <si>
    <t>MCB 16A</t>
  </si>
  <si>
    <t>MCB 32A</t>
  </si>
  <si>
    <t>Others (Lamps, streetlights, generation related accessories etc. )</t>
  </si>
  <si>
    <t>lot</t>
  </si>
  <si>
    <t>Total Cost for the system (inc. of taxes and VAT)</t>
  </si>
  <si>
    <t>Page 2 of 3</t>
  </si>
  <si>
    <t>Page 3 of 3</t>
  </si>
  <si>
    <t>Page 4 of 4</t>
  </si>
  <si>
    <t>PV Array Capacity</t>
  </si>
  <si>
    <t>Household Load (kW)</t>
  </si>
  <si>
    <t>Household Load (kWh)</t>
  </si>
  <si>
    <t>PEU load (kW)</t>
  </si>
  <si>
    <t>PEU load (kWh)</t>
  </si>
  <si>
    <t>Public Energy Use load(kW)</t>
  </si>
  <si>
    <t>Public Energy Use load(kWh)</t>
  </si>
  <si>
    <t>Total load (kW)</t>
  </si>
  <si>
    <t>Total energy demand per day(kWh)</t>
  </si>
  <si>
    <t>Day energy demand (kWh)</t>
  </si>
  <si>
    <t>Night energy demand (kWh)</t>
  </si>
  <si>
    <t>Select the size of PV module</t>
  </si>
  <si>
    <t>Module Efficiency (%)</t>
  </si>
  <si>
    <t>NOCT (Deg C)</t>
  </si>
  <si>
    <t>Tc of Open Circuit Voltage (% / C)</t>
  </si>
  <si>
    <t>Tc of Short Circuit Current (% / C)</t>
  </si>
  <si>
    <t>Tc of Power (% / C)</t>
  </si>
  <si>
    <t>Length x Width x Height (mm x mm x mm)</t>
  </si>
  <si>
    <t>1998x1010x35</t>
  </si>
  <si>
    <t>Peaksun</t>
  </si>
  <si>
    <t>PV Array Size(kW)</t>
  </si>
  <si>
    <t>PV Inverter Sizing</t>
  </si>
  <si>
    <t>Size of PV Inverter Required(kW)</t>
  </si>
  <si>
    <t>Total inverter size used (kW)</t>
  </si>
  <si>
    <t>Individual inverter size (kW)</t>
  </si>
  <si>
    <t>No. of PV Inverter Required</t>
  </si>
  <si>
    <t>Battery Sizing</t>
  </si>
  <si>
    <t>Select Battery type</t>
  </si>
  <si>
    <t>VRLA</t>
  </si>
  <si>
    <t>Total Load(Wh)</t>
  </si>
  <si>
    <t>Days of Autonomy</t>
  </si>
  <si>
    <t>Depth of Discharge</t>
  </si>
  <si>
    <t>Battery Efficiency</t>
  </si>
  <si>
    <t>Total Ah Required</t>
  </si>
  <si>
    <t>Battery Bank Voltage(V)</t>
  </si>
  <si>
    <t>Battery Inverter Sizing</t>
  </si>
  <si>
    <t>Total Load (W)</t>
  </si>
  <si>
    <t>DC side Voltage(V)</t>
  </si>
  <si>
    <t>Rated Power/Unit(W)</t>
  </si>
  <si>
    <t>Total Number of Battery inverters Required</t>
  </si>
  <si>
    <t>Total battery Inverter Size (kW)</t>
  </si>
  <si>
    <t>Cable Sizing-DC</t>
  </si>
  <si>
    <t>Module Wiring (Sq.mm)</t>
  </si>
  <si>
    <t>Array to Power House (Sq.mm)</t>
  </si>
  <si>
    <t>MCB/MCCB/O/P For PV inveter</t>
  </si>
  <si>
    <t>Total Inverter Size (Watts)</t>
  </si>
  <si>
    <t>Current Draw(Amp)</t>
  </si>
  <si>
    <t>Rated Current for MCB(Amp)</t>
  </si>
  <si>
    <t>Market Available Size(Amp)</t>
  </si>
  <si>
    <t>No.of AC MCB/MCCB required</t>
  </si>
  <si>
    <t xml:space="preserve"> SMG  AC output combiner box</t>
  </si>
  <si>
    <t>Is AC combiner box required?</t>
  </si>
  <si>
    <t>Total power from the inveters (AC)</t>
  </si>
  <si>
    <t>AC Cable Design</t>
  </si>
  <si>
    <t>Inverter to AC combiner Box</t>
  </si>
  <si>
    <t>Length of cable per pole (m)</t>
  </si>
  <si>
    <t>T&amp;D data base</t>
  </si>
  <si>
    <t>Capacity of the System(kWp)</t>
  </si>
  <si>
    <t>Nb of connections</t>
  </si>
  <si>
    <t>Cable Length</t>
  </si>
  <si>
    <t>Conn/km</t>
  </si>
  <si>
    <t>Km/Conn</t>
  </si>
  <si>
    <t>Km/KW</t>
  </si>
  <si>
    <t>Conn/KW</t>
  </si>
  <si>
    <t>Total Cost of the Project</t>
  </si>
  <si>
    <t>Total T &amp; D Cost</t>
  </si>
  <si>
    <t>Select estimation method</t>
  </si>
  <si>
    <t>Method by connection</t>
  </si>
  <si>
    <t>Method by capacity</t>
  </si>
  <si>
    <t>Range of categories of connection</t>
  </si>
  <si>
    <t>Range of categories of capacity</t>
  </si>
  <si>
    <t>From 0 to X
X=</t>
  </si>
  <si>
    <t>From X to Y
Y=</t>
  </si>
  <si>
    <t>Average per category of connection</t>
  </si>
  <si>
    <t>Average per category of capacity</t>
  </si>
  <si>
    <t>General average</t>
  </si>
  <si>
    <t>Capacity of the System (kWp)</t>
  </si>
  <si>
    <t>m</t>
  </si>
  <si>
    <t>Solar PV Modules</t>
  </si>
  <si>
    <t>PV Inverter</t>
  </si>
  <si>
    <t>Battery Inverter</t>
  </si>
  <si>
    <t>VRLA Batteries</t>
  </si>
  <si>
    <t>Solar PV Module support structure</t>
  </si>
  <si>
    <t>km</t>
  </si>
  <si>
    <t>Considering lighting arrestors are instlled at an inverval of 250m in the poles and the rate is taken from AEPC DFS report</t>
  </si>
  <si>
    <t>Needed for cleaning and other applications, rate is considered from AEPC Report</t>
  </si>
  <si>
    <t>ABC cable accessories (clamps, connectors etc. )</t>
  </si>
  <si>
    <t>Lot</t>
  </si>
  <si>
    <t>Considering 20m wire is required for connection as service wire and rate is considered from the AEPC DFS report</t>
  </si>
  <si>
    <t>Considering 10% more meter box more than the number of households and rate is considered from the AEPC DFS report</t>
  </si>
  <si>
    <t>Considering 10% more MCCB more than the number of households and the rate is considered from AEPC DFS Report</t>
  </si>
  <si>
    <t>Rate is considered from AEPC Report</t>
  </si>
  <si>
    <t>Lamp</t>
  </si>
  <si>
    <t>Considering 6 number of bulbs are required in each households.</t>
  </si>
  <si>
    <t>Street Light</t>
  </si>
  <si>
    <t>Sunny Island SI 6.0H (4kW)</t>
  </si>
  <si>
    <t>Sunny Island SI 8.0H(6kW)</t>
  </si>
  <si>
    <t>Service Wire</t>
  </si>
  <si>
    <t>Set</t>
  </si>
  <si>
    <t>Stay Sets</t>
  </si>
  <si>
    <t>Item No.</t>
  </si>
  <si>
    <t>Item Description</t>
  </si>
  <si>
    <t xml:space="preserve">Unit </t>
  </si>
  <si>
    <t>Rate (NPR)</t>
  </si>
  <si>
    <t>VAT free</t>
  </si>
  <si>
    <t>VATable</t>
  </si>
  <si>
    <t>Total</t>
  </si>
  <si>
    <t>Remarks</t>
  </si>
  <si>
    <t>A- Power Generation Components:</t>
  </si>
  <si>
    <t xml:space="preserve">Taking refernce from KTM district rate </t>
  </si>
  <si>
    <t>Taking refernce from market</t>
  </si>
  <si>
    <t xml:space="preserve">AC Main distributor with control &amp; protection Accessories </t>
  </si>
  <si>
    <t xml:space="preserve">PV Combiner Boxes </t>
  </si>
  <si>
    <t>Off-Grid Combiner Box</t>
  </si>
  <si>
    <t>DC AC copper cables and all accessories complete</t>
  </si>
  <si>
    <t>Earthing System</t>
  </si>
  <si>
    <t>Lightening protection system with accessories</t>
  </si>
  <si>
    <t>Equipotential bonding Bar</t>
  </si>
  <si>
    <t>Three Phase AC SPD</t>
  </si>
  <si>
    <t>DC SPD</t>
  </si>
  <si>
    <t>Main Distribution Board</t>
  </si>
  <si>
    <t>Controll System</t>
  </si>
  <si>
    <t>Remote Monitoring System</t>
  </si>
  <si>
    <t>Fire Extenguisher</t>
  </si>
  <si>
    <t>Exhaust Fan</t>
  </si>
  <si>
    <t>Office Equipments (Table, Chair, Shelf, Laptop, Printer)</t>
  </si>
  <si>
    <t>Total Power generation cost:</t>
  </si>
  <si>
    <t>B. Distribution Components</t>
  </si>
  <si>
    <r>
      <t>XLPE Insulated Alumnium Armoured AC Cable</t>
    </r>
    <r>
      <rPr>
        <vertAlign val="superscript"/>
        <sz val="10"/>
        <color theme="1"/>
        <rFont val="Arial"/>
        <family val="2"/>
      </rPr>
      <t xml:space="preserve"> </t>
    </r>
    <r>
      <rPr>
        <sz val="9"/>
        <color theme="1"/>
        <rFont val="Arial"/>
        <family val="2"/>
      </rPr>
      <t>(Powerhouse to first pole)</t>
    </r>
  </si>
  <si>
    <t>Earthing System Set for Power Distribution System</t>
  </si>
  <si>
    <t>Distribution Poles (9 m) (80%)</t>
  </si>
  <si>
    <t>Distribution Poles (11 m) (20%)</t>
  </si>
  <si>
    <t>Kailali District rate excluding the transportation cost.</t>
  </si>
  <si>
    <t>ABC Cables - Main Truck Lines (95 mm2) (20%)</t>
  </si>
  <si>
    <t>ABC Cables - Branches (35 mm2) (80%)</t>
  </si>
  <si>
    <t>Meter 5A</t>
  </si>
  <si>
    <t>Meter 16 A</t>
  </si>
  <si>
    <t>Meter 32 A</t>
  </si>
  <si>
    <t>MCB 16 A</t>
  </si>
  <si>
    <t>MCCB 32 A</t>
  </si>
  <si>
    <t>Tool Box (Insulating Gloves, Crimping Tool, 3-phase Digital Clampmeter etc.)</t>
  </si>
  <si>
    <t xml:space="preserve">Price </t>
  </si>
  <si>
    <t>Grand Total</t>
  </si>
  <si>
    <t>Diff.from estimate</t>
  </si>
  <si>
    <t>MCB/MCCB Size (Individual inverter)</t>
  </si>
  <si>
    <t>Difference from Estimate</t>
  </si>
  <si>
    <t>Size of the Cable (Sq. mm)</t>
  </si>
  <si>
    <t>Ampere</t>
  </si>
  <si>
    <t>Minimum</t>
  </si>
  <si>
    <t>MCCB Selection</t>
  </si>
  <si>
    <t>MCB/MCCB Size (AC combiner)</t>
  </si>
  <si>
    <t>DC Cable Sizing</t>
  </si>
  <si>
    <t>Size of Panel</t>
  </si>
  <si>
    <t>Isc</t>
  </si>
  <si>
    <t>Vmp</t>
  </si>
  <si>
    <t>Module Wiring</t>
  </si>
  <si>
    <t>Array to Power House</t>
  </si>
  <si>
    <t>PV Inverter Selection</t>
  </si>
  <si>
    <t>Theoretical inverter size (kW)</t>
  </si>
  <si>
    <t>Inverter options (kW)</t>
  </si>
  <si>
    <t>Current (A)</t>
  </si>
  <si>
    <t>Minimum:</t>
  </si>
  <si>
    <t>Roundup:</t>
  </si>
  <si>
    <t>Invt. Selected:</t>
  </si>
  <si>
    <t>Total inverter size:</t>
  </si>
  <si>
    <t>Battery inverter selection</t>
  </si>
  <si>
    <t>Theoretical battery inverter size (kW)</t>
  </si>
  <si>
    <t>Voltage (V)</t>
  </si>
  <si>
    <t>Invt. Selected (kW)</t>
  </si>
  <si>
    <t>Battery Inverter Required Size(kW)</t>
  </si>
  <si>
    <t>Total Peak Power required for battery</t>
  </si>
  <si>
    <t>Market Available Inverter Size(kW)</t>
  </si>
  <si>
    <t>Sunny island 6.0</t>
  </si>
  <si>
    <t>No of Theoritical Inverter Required</t>
  </si>
  <si>
    <t>Provides the number of theoritical inverter Required</t>
  </si>
  <si>
    <t>Assumption: Max, distance for a string is 32m, 16 modules in series</t>
  </si>
  <si>
    <t>No of Set Required</t>
  </si>
  <si>
    <t>Provides the multiples of three for battery inverter.</t>
  </si>
  <si>
    <t>Assumption: 16 modules per string</t>
  </si>
  <si>
    <t xml:space="preserve">1 Set means multiples of 3 </t>
  </si>
  <si>
    <t>Provides the total number of inverters required</t>
  </si>
  <si>
    <t>Size of Modules</t>
  </si>
  <si>
    <t>Imp</t>
  </si>
  <si>
    <t>VOC</t>
  </si>
  <si>
    <t>VMP</t>
  </si>
  <si>
    <t>AC Wire Sizing Chart</t>
  </si>
  <si>
    <t>Adopted Wire Sizing Formulae</t>
  </si>
  <si>
    <t>Wire Size in circular mills     =      (d*2*I*k)/(V*Vd)</t>
  </si>
  <si>
    <t>where,</t>
  </si>
  <si>
    <r>
      <t>·</t>
    </r>
    <r>
      <rPr>
        <sz val="7"/>
        <color rgb="FF000000"/>
        <rFont val="Times New Roman"/>
        <family val="1"/>
      </rPr>
      <t xml:space="preserve">    </t>
    </r>
    <r>
      <rPr>
        <sz val="9"/>
        <color rgb="FF000000"/>
        <rFont val="Verdana"/>
        <family val="2"/>
      </rPr>
      <t>d = 1-way wire distance</t>
    </r>
  </si>
  <si>
    <r>
      <t>·</t>
    </r>
    <r>
      <rPr>
        <sz val="7"/>
        <color rgb="FF000000"/>
        <rFont val="Times New Roman"/>
        <family val="1"/>
      </rPr>
      <t xml:space="preserve">    </t>
    </r>
    <r>
      <rPr>
        <sz val="9"/>
        <color rgb="FF000000"/>
        <rFont val="Verdana"/>
        <family val="2"/>
      </rPr>
      <t>I = Maximum continuous current rating of the inverter</t>
    </r>
  </si>
  <si>
    <r>
      <t>·</t>
    </r>
    <r>
      <rPr>
        <sz val="7"/>
        <color rgb="FF000000"/>
        <rFont val="Times New Roman"/>
        <family val="1"/>
      </rPr>
      <t xml:space="preserve">    </t>
    </r>
    <r>
      <rPr>
        <sz val="9"/>
        <color rgb="FF000000"/>
        <rFont val="Verdana"/>
        <family val="2"/>
      </rPr>
      <t>V = Nominal utility voltage (i.e. 240, 208 etc.)</t>
    </r>
  </si>
  <si>
    <r>
      <t>·</t>
    </r>
    <r>
      <rPr>
        <sz val="7"/>
        <color rgb="FF000000"/>
        <rFont val="Times New Roman"/>
        <family val="1"/>
      </rPr>
      <t xml:space="preserve">    </t>
    </r>
    <r>
      <rPr>
        <sz val="9"/>
        <color rgb="FF000000"/>
        <rFont val="Verdana"/>
        <family val="2"/>
      </rPr>
      <t>V_d = Percentage voltage drop, for 1%  , 0.01</t>
    </r>
  </si>
  <si>
    <r>
      <t>·</t>
    </r>
    <r>
      <rPr>
        <sz val="7"/>
        <color rgb="FF000000"/>
        <rFont val="Times New Roman"/>
        <family val="1"/>
      </rPr>
      <t xml:space="preserve">    </t>
    </r>
    <r>
      <rPr>
        <sz val="9"/>
        <color rgb="FF000000"/>
        <rFont val="Verdana"/>
        <family val="2"/>
      </rPr>
      <t>k = thermal conductivity of the "K- Factor" of a metal; for Copper use 12.9</t>
    </r>
  </si>
  <si>
    <t>S.NO</t>
  </si>
  <si>
    <t xml:space="preserve">Approximate Wire Sizing </t>
  </si>
  <si>
    <t>AC Wire Description</t>
  </si>
  <si>
    <t>Length in m</t>
  </si>
  <si>
    <t>Allowable Voltage Drop</t>
  </si>
  <si>
    <t>Voltage System (V)</t>
  </si>
  <si>
    <t>Max. Current in Amp</t>
  </si>
  <si>
    <t>Wire Size in circular mills</t>
  </si>
  <si>
    <t>Area mm2</t>
  </si>
  <si>
    <t>Available Size mm2</t>
  </si>
  <si>
    <t>Inverter ratio less than 1.8 has been excluded based on hit-and-trial method to optimize the selection of the inverters</t>
  </si>
  <si>
    <t>CM</t>
  </si>
  <si>
    <t>MM2</t>
  </si>
  <si>
    <t>No. of Poles</t>
  </si>
  <si>
    <t>No. of Stay sets</t>
  </si>
  <si>
    <t>Percentage</t>
  </si>
  <si>
    <t>Average</t>
  </si>
  <si>
    <t>List of Components</t>
  </si>
  <si>
    <t>Sano Dumre SMG (55.44 kWp)</t>
  </si>
  <si>
    <t>Badahare SMG (21.4 kWP)</t>
  </si>
  <si>
    <t>Majhi Tole SMG (6.4 kWp)</t>
  </si>
  <si>
    <t>Badar Jhula SMG (316kWp)</t>
  </si>
  <si>
    <t>Dalaicha Dada SMG (21.6 kWp)</t>
  </si>
  <si>
    <t>SunKoshi SMG (12.32 kWp)</t>
  </si>
  <si>
    <t>Kakani SMG (63.6 kWp)</t>
  </si>
  <si>
    <t>Mulkharkha SMG (95 kWp)</t>
  </si>
  <si>
    <t>Sumli SMG (29.7 kWp)</t>
  </si>
  <si>
    <t>Sangta SMG (10.5 kWp)</t>
  </si>
  <si>
    <t>Average Unit Cost</t>
  </si>
  <si>
    <t>Per Unit Cost</t>
  </si>
  <si>
    <t>Unit Cost</t>
  </si>
  <si>
    <t>Total Cost</t>
  </si>
  <si>
    <t>Cable from PH to First Pole</t>
  </si>
  <si>
    <t>Distribution Poles (8 m)</t>
  </si>
  <si>
    <t>Distribution Poles (9 m)</t>
  </si>
  <si>
    <t>Distribution Poles (11 m)</t>
  </si>
  <si>
    <t>ACSR Conductor (Rabbit) (50 mm2)</t>
  </si>
  <si>
    <t>ACSR Conductor(Dog) (100 mm2)</t>
  </si>
  <si>
    <t>ACSR Conductor(Squirrel) ()</t>
  </si>
  <si>
    <t>ACSR Conductor(Weaseal) (30 mm2)</t>
  </si>
  <si>
    <t xml:space="preserve">Shackle insulators and D-iron
(medium size) </t>
  </si>
  <si>
    <t>Pcs</t>
  </si>
  <si>
    <t>Meter 32A</t>
  </si>
  <si>
    <t>Pyranometer</t>
  </si>
  <si>
    <t>Miscellaneous</t>
  </si>
  <si>
    <t>LS</t>
  </si>
  <si>
    <t>Auto Transformer 50, 25, 40 kVA</t>
  </si>
  <si>
    <t>Tool Box</t>
  </si>
  <si>
    <t>Cost of Poles as per Kathmandu district Rate</t>
  </si>
  <si>
    <t>Available Wire Sizes and Prices (Market)-DC Cables; 2C, Unarmoured</t>
  </si>
  <si>
    <t>MS Pole 6 m high with rustproof enamel paint dimension 4 inch for buttom 3 m 3 inch for top 3 m</t>
  </si>
  <si>
    <t>Size</t>
  </si>
  <si>
    <t>MS Pole 7 m high with rustproof enamel paint dimension 4 inch for buttom 4 m 6 inch for top 3 m</t>
  </si>
  <si>
    <t>Kathmandu District Rate 77/78</t>
  </si>
  <si>
    <t>MS Pole 8 m high with rustproof enamel paint dimension 4 inch for buttom 5 m 6 inch for top 3 m</t>
  </si>
  <si>
    <t>MS Pole 9 m high with rustproof enamel paint dimension 4 inch for buttom 6 m 6 inch for top 3 m</t>
  </si>
  <si>
    <t>7 m Hot Deep Galvanized Pole with Diameter of Pole section 4 inch for bottom 4.5 m and 3 inch for top 2.5 m</t>
  </si>
  <si>
    <t>8 m Hot Deep Galvanized Pole with Diameter of Pole section 5 inch for bottom 4.5 m, 4 inch for middle 1.75 m  and 3 inch for top 1.75  m</t>
  </si>
  <si>
    <t>9 m Hot Deep Galvanized Pole with Diameter of Pole section 5 inch for bottom  4 inch for middle 2 m  and 3 inch for top 2  m</t>
  </si>
  <si>
    <t>10 m Hot Deep Galvanized Pole with Diameter of Pole section 5 inch for bottom  5.2 m, 4 inch for middle 2.4 m  and 3 inch for top 2.4  m</t>
  </si>
  <si>
    <t>Lightning Arrestor</t>
  </si>
  <si>
    <t>Type</t>
  </si>
  <si>
    <t>ESE Type</t>
  </si>
  <si>
    <t>Standard Average Pricing</t>
  </si>
  <si>
    <t>Copper Spike</t>
  </si>
  <si>
    <t>Available inverter Sizes (Market)</t>
  </si>
  <si>
    <t>Available MCB-TPN/MCCB Sizes and Prices (Market)-25kA</t>
  </si>
  <si>
    <t>Available 4 core ABC cables (+10% for connectors), price/meter</t>
  </si>
  <si>
    <t>Market rate</t>
  </si>
  <si>
    <t>Accessories</t>
  </si>
  <si>
    <t>Price for on-grid Inverter</t>
  </si>
  <si>
    <t>Price for Battery Inverter</t>
  </si>
  <si>
    <t>Price for multicluster box</t>
  </si>
  <si>
    <t>Available multicluster box</t>
  </si>
  <si>
    <t>ACDB</t>
  </si>
  <si>
    <t>MC</t>
  </si>
  <si>
    <t>Dalaicha Dada SMG(21.6 kWp)</t>
  </si>
  <si>
    <t>SunKoshi SMG(12.32 kWp)</t>
  </si>
  <si>
    <t>Kakani SMG(63.6 kWp)</t>
  </si>
  <si>
    <t>Sumli SMG(29.7 kWp)</t>
  </si>
  <si>
    <t>Sangta SMG(10.5 kWp)</t>
  </si>
  <si>
    <t>Mounting Structure</t>
  </si>
  <si>
    <t>PV Combiner Box</t>
  </si>
  <si>
    <t>Off Grid Combiner Box</t>
  </si>
  <si>
    <t>-</t>
  </si>
  <si>
    <r>
      <t>Sano Dumre village</t>
    </r>
    <r>
      <rPr>
        <sz val="11"/>
        <color theme="1"/>
        <rFont val="Calibri"/>
        <family val="2"/>
        <scheme val="minor"/>
      </rPr>
      <t xml:space="preserve"> </t>
    </r>
  </si>
  <si>
    <t>55.4 kWp, 140 HHs, 18km Cable length</t>
  </si>
  <si>
    <t xml:space="preserve">Badahare village </t>
  </si>
  <si>
    <t>21.6 kWp, 66 HHs, 10 km cable length</t>
  </si>
  <si>
    <t xml:space="preserve">Dalaicha Dada </t>
  </si>
  <si>
    <t>21.6 kWp, 60 HHs, 12.5 km cable length</t>
  </si>
  <si>
    <t xml:space="preserve">Jate Village </t>
  </si>
  <si>
    <t>12.32 kWp, 35 HHs, 6km cable length</t>
  </si>
  <si>
    <t>GPS coordinate 27.371o
, 86.696 o</t>
  </si>
  <si>
    <t xml:space="preserve">GPS coordinate 27.256o
, 86.236 o
</t>
  </si>
  <si>
    <t xml:space="preserve">GPS coordinate 27.523o
, 86.622 o
</t>
  </si>
  <si>
    <t xml:space="preserve">GPS coordinate 27.284o
, 86.377 o
</t>
  </si>
  <si>
    <t xml:space="preserve">Majhi Tole </t>
  </si>
  <si>
    <t>6.4 kWp, 18 HHs, 1 km cable length</t>
  </si>
  <si>
    <t xml:space="preserve">Badarjhula </t>
  </si>
  <si>
    <t>316.8 kWp, 700 HHs, 40 km cable length</t>
  </si>
  <si>
    <t xml:space="preserve">Kakani Village </t>
  </si>
  <si>
    <t>63.6 kWp, 160 HHs, 32 km cable length</t>
  </si>
  <si>
    <t xml:space="preserve">Mulkharka Village </t>
  </si>
  <si>
    <t>95 kWp, 280 HHs, 36 km cable length</t>
  </si>
  <si>
    <t xml:space="preserve">GPS coordinate 27.257o
, 86.631 o
</t>
  </si>
  <si>
    <t xml:space="preserve">GPS coordinate 27.3651
o
, 84.5302 o
</t>
  </si>
  <si>
    <t xml:space="preserve">GPS coordinate 27.283o
, 86.382 o
</t>
  </si>
  <si>
    <t>कुल विद्युत माग (kW)</t>
  </si>
  <si>
    <t>कुल ऊर्जा माग (kWh)</t>
  </si>
  <si>
    <t>NEA grid supply voltage</t>
  </si>
  <si>
    <t>हालको अवस्थित उद्यम संख्या + थपिने उद्यमहरूको संख्या</t>
  </si>
  <si>
    <t>No. of Enterprises</t>
  </si>
  <si>
    <t>Abc cables</t>
  </si>
  <si>
    <t>meters</t>
  </si>
  <si>
    <t>No. of enterprises</t>
  </si>
  <si>
    <t>Page 1 of 3</t>
  </si>
  <si>
    <t>Recommended default values. Subject to modification, if required. However, alteration require expert knowlede.</t>
  </si>
  <si>
    <t>प्रस्तावित पूर्वनिर्धारित मूल्यहरू। आवश्यक भएमा परिमार्जन गर्न सकिन्छ। तथापि, परिमार्जन गर्नका लागि विशेषज्ञ ज्ञान आवश्यक छ।</t>
  </si>
  <si>
    <t>The below tables are only to be filled if the answer to is D31 is "No"</t>
  </si>
  <si>
    <t xml:space="preserve">यदि सेल नम्बर D31 को उत्तर "No" हो भने मात्र तलको तालिका भर्नुहोला </t>
  </si>
  <si>
    <t>Total cost</t>
  </si>
  <si>
    <t>Comments and/or supporting information</t>
  </si>
  <si>
    <t>Backend Design</t>
  </si>
  <si>
    <t>Backend Values</t>
  </si>
  <si>
    <t>Transmission line examples</t>
  </si>
  <si>
    <t>Reference Prices</t>
  </si>
  <si>
    <t>Taking averages from the DFS reports from AEPC</t>
  </si>
  <si>
    <t>Considered 3 times to the number of poles rate is from AEPC DFS report</t>
  </si>
  <si>
    <t>Miklajung SMG</t>
  </si>
  <si>
    <t>Rajesh Magar</t>
  </si>
  <si>
    <t>Koshi Province</t>
  </si>
  <si>
    <t>Panchthar</t>
  </si>
  <si>
    <t>Sewaroo RM</t>
  </si>
  <si>
    <t>Chilime</t>
  </si>
  <si>
    <t>Robert Mugabe</t>
  </si>
  <si>
    <t>RM1as</t>
  </si>
  <si>
    <t>Design Inputs</t>
  </si>
  <si>
    <t xml:space="preserve">Total Cost for the system </t>
  </si>
  <si>
    <t xml:space="preserve">Total Distrubution cost </t>
  </si>
  <si>
    <t>Components of Bill of Quantities</t>
  </si>
  <si>
    <t>Note: This is BoQ is indicative only. The final BoQ requires Detailed Feasibility Study to be completed.</t>
  </si>
  <si>
    <t>NPR/kWp</t>
  </si>
  <si>
    <t>MCB 6A</t>
  </si>
  <si>
    <t>Unknown</t>
  </si>
  <si>
    <t>Connection</t>
  </si>
  <si>
    <t>यो डिजाइन वर्कबुकले मुख्यतया  सौर्य मिनिग्रिडको आकार र प्रणाली लागतको अनुमान गर्ने आधारभुत  कार्य गर्दछ। यसलाई विस्तृत डिजाइन र लागतमा प्रयोग गर्नुहुदैन ।</t>
  </si>
  <si>
    <t>निर्माताले (वा प्रयोगकर्ताले)  'इनपुट'(Input) पानामा मात्र परियोजना डाटा प्रविष्ट गर्नुपर्नेछ। अन्य सबै पानाहरू एकसाथ जडित छन् र 'रिपोर्ट' पानामा रिपोर्ट तयार  हुन्छ। निर्माताले 'मूल्य संदर्भ ' (Reference Prices) पानामा  मूल्य अद्यावधिक गर्न सक्नुहुनेछ।</t>
  </si>
  <si>
    <r>
      <t xml:space="preserve">डिजाइनरले 'Input' पानामा </t>
    </r>
    <r>
      <rPr>
        <b/>
        <sz val="10"/>
        <rFont val="Arial"/>
        <family val="2"/>
      </rPr>
      <t>आवश्यक छ/ आवश्यक छैन</t>
    </r>
    <r>
      <rPr>
        <sz val="10"/>
        <rFont val="Arial"/>
        <family val="2"/>
      </rPr>
      <t xml:space="preserve"> प्रकार्यको साथ  प्रणालीहरुको चयन गर्न सक्नु हुनेछ । यसले BoQ मा कम्पोनेन्ट समावेस वा बहिस्कारको परिणाम दिनेछ ।</t>
    </r>
  </si>
  <si>
    <t>केबलको लम्बाइ थाहा नभएको अवस्थामा दुईवटा विधिहरूद्वारा गणना गर्न सकिन्छ: "जडानद्वारा विधि" र "क्षमताद्वारा विधि"। विधिको छनोट ब्याकइन्ड डिजाइन (Backend Design) पानामा छनौट गर्न सकिन्छ।</t>
  </si>
  <si>
    <t xml:space="preserve">सामग्रीको मूल्य हालको जिल्ला दररेट अनुसार Reference प्रयोजनको लागि मात्र समावेस गरिएको छ। Reference Prices  खण्ड प्रत्येक वर्ष अद्यावधिक गरिनुपर्छ।  </t>
  </si>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</sst>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00"/>
    <numFmt numFmtId="167" formatCode="_-[$NPR]\ * #,##0_-;\-[$NPR]\ * #,##0_-;_-[$NPR]\ * &quot;-&quot;??_-;_-@_-"/>
    <numFmt numFmtId="168" formatCode="General\ &quot;V&quot;"/>
  </numFmts>
  <fonts count="49"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theme="1"/>
      <name val="Calibri"/>
      <family val="2"/>
      <scheme val="minor"/>
    </font>
    <font>
      <b/>
      <sz val="12"/>
      <color theme="1"/>
      <name val="Calibri"/>
      <family val="2"/>
      <scheme val="minor"/>
    </font>
    <font>
      <sz val="10"/>
      <color rgb="FF000000"/>
      <name val="Symbol"/>
      <family val="1"/>
      <charset val="2"/>
    </font>
    <font>
      <sz val="7"/>
      <color rgb="FF000000"/>
      <name val="Times New Roman"/>
      <family val="1"/>
    </font>
    <font>
      <sz val="9"/>
      <color rgb="FF000000"/>
      <name val="Verdana"/>
      <family val="2"/>
    </font>
    <font>
      <sz val="11"/>
      <color rgb="FFFF0000"/>
      <name val="Calibri"/>
      <family val="2"/>
      <scheme val="minor"/>
    </font>
    <font>
      <i/>
      <sz val="11"/>
      <color theme="1"/>
      <name val="Calibri"/>
      <family val="2"/>
      <scheme val="minor"/>
    </font>
    <font>
      <sz val="10"/>
      <color theme="1"/>
      <name val="Arial"/>
      <family val="2"/>
    </font>
    <font>
      <sz val="10"/>
      <name val="Arial"/>
      <family val="2"/>
    </font>
    <font>
      <vertAlign val="superscript"/>
      <sz val="10"/>
      <color theme="1"/>
      <name val="Arial"/>
      <family val="2"/>
    </font>
    <font>
      <b/>
      <sz val="11"/>
      <color theme="0"/>
      <name val="Calibri"/>
      <family val="2"/>
      <scheme val="minor"/>
    </font>
    <font>
      <b/>
      <sz val="18"/>
      <color theme="0"/>
      <name val="Calibri"/>
      <family val="2"/>
      <scheme val="minor"/>
    </font>
    <font>
      <sz val="10"/>
      <name val="Calibri"/>
      <family val="2"/>
      <scheme val="minor"/>
    </font>
    <font>
      <sz val="10"/>
      <color theme="1"/>
      <name val="Calibri"/>
      <family val="2"/>
      <scheme val="minor"/>
    </font>
    <font>
      <sz val="10"/>
      <color rgb="FFFF0000"/>
      <name val="Arial"/>
      <family val="2"/>
    </font>
    <font>
      <b/>
      <sz val="10"/>
      <color theme="1"/>
      <name val="Calibri"/>
      <family val="2"/>
      <scheme val="minor"/>
    </font>
    <font>
      <b/>
      <sz val="11"/>
      <name val="Calibri"/>
      <family val="2"/>
      <scheme val="minor"/>
    </font>
    <font>
      <b/>
      <sz val="14"/>
      <color theme="0"/>
      <name val="Calibri"/>
      <family val="2"/>
      <scheme val="minor"/>
    </font>
    <font>
      <i/>
      <sz val="8"/>
      <name val="Arial"/>
      <family val="2"/>
    </font>
    <font>
      <b/>
      <sz val="10"/>
      <color theme="0"/>
      <name val="Calibri"/>
      <family val="2"/>
      <scheme val="minor"/>
    </font>
    <font>
      <b/>
      <sz val="8"/>
      <color theme="0" tint="-0.499984740745262"/>
      <name val="Calibri"/>
      <family val="2"/>
      <scheme val="minor"/>
    </font>
    <font>
      <sz val="10"/>
      <color rgb="FFC00000"/>
      <name val="Calibri"/>
      <family val="2"/>
      <scheme val="minor"/>
    </font>
    <font>
      <sz val="8"/>
      <color theme="0" tint="-0.499984740745262"/>
      <name val="Calibri"/>
      <family val="2"/>
      <scheme val="minor"/>
    </font>
    <font>
      <b/>
      <sz val="18"/>
      <color theme="0"/>
      <name val="Arial"/>
      <family val="2"/>
    </font>
    <font>
      <b/>
      <sz val="11"/>
      <color theme="0"/>
      <name val="Arial"/>
      <family val="2"/>
    </font>
    <font>
      <sz val="11"/>
      <color rgb="FFFF0000"/>
      <name val="Arial"/>
      <family val="2"/>
    </font>
    <font>
      <b/>
      <sz val="14"/>
      <color theme="0"/>
      <name val="Arial"/>
      <family val="2"/>
    </font>
    <font>
      <b/>
      <sz val="11"/>
      <name val="Arial"/>
      <family val="2"/>
    </font>
    <font>
      <b/>
      <sz val="10"/>
      <color theme="1"/>
      <name val="Arial"/>
      <family val="2"/>
    </font>
    <font>
      <b/>
      <sz val="12"/>
      <color theme="0"/>
      <name val="Calibri"/>
      <family val="2"/>
      <scheme val="minor"/>
    </font>
    <font>
      <b/>
      <i/>
      <sz val="10"/>
      <color theme="0"/>
      <name val="Calibri"/>
      <family val="2"/>
      <scheme val="minor"/>
    </font>
    <font>
      <i/>
      <sz val="10"/>
      <color theme="1"/>
      <name val="Calibri"/>
      <family val="2"/>
      <scheme val="minor"/>
    </font>
    <font>
      <b/>
      <sz val="10"/>
      <color rgb="FFFF0000"/>
      <name val="Calibri"/>
      <family val="2"/>
      <scheme val="minor"/>
    </font>
    <font>
      <b/>
      <sz val="10"/>
      <color rgb="FFFF0000"/>
      <name val="Arial"/>
      <family val="2"/>
    </font>
    <font>
      <b/>
      <sz val="10"/>
      <name val="Arial"/>
      <family val="2"/>
    </font>
    <font>
      <sz val="9"/>
      <color theme="1"/>
      <name val="Arial"/>
      <family val="2"/>
    </font>
    <font>
      <b/>
      <sz val="9"/>
      <name val="Calibri"/>
      <family val="2"/>
      <scheme val="minor"/>
    </font>
    <font>
      <b/>
      <sz val="14"/>
      <color rgb="FFFFFF00"/>
      <name val="Arial"/>
      <family val="2"/>
    </font>
    <font>
      <sz val="11"/>
      <color theme="0"/>
      <name val="Arial"/>
      <family val="2"/>
    </font>
    <font>
      <i/>
      <sz val="10"/>
      <color theme="1"/>
      <name val="Arial"/>
      <family val="2"/>
    </font>
    <font>
      <i/>
      <sz val="10"/>
      <color rgb="FFC00000"/>
      <name val="Arial"/>
      <family val="2"/>
    </font>
    <font>
      <sz val="11"/>
      <color theme="0"/>
      <name val="Calibri"/>
      <family val="2"/>
      <scheme val="minor"/>
    </font>
    <font>
      <b/>
      <sz val="18"/>
      <name val="Calibri"/>
      <family val="2"/>
      <scheme val="minor"/>
    </font>
    <font>
      <b/>
      <sz val="16"/>
      <color theme="0"/>
      <name val="Arial"/>
      <family val="2"/>
    </font>
    <font>
      <i/>
      <sz val="12"/>
      <color rgb="FFFF0000"/>
      <name val="Calibri"/>
      <family val="2"/>
      <scheme val="minor"/>
    </font>
  </fonts>
  <fills count="21">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65"/>
        <bgColor theme="0"/>
      </patternFill>
    </fill>
    <fill>
      <patternFill patternType="solid">
        <fgColor theme="0"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C1C1"/>
        <bgColor indexed="64"/>
      </patternFill>
    </fill>
    <fill>
      <patternFill patternType="solid">
        <fgColor rgb="FFFF9797"/>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EAEAEA"/>
        <bgColor indexed="64"/>
      </patternFill>
    </fill>
    <fill>
      <patternFill patternType="solid">
        <fgColor rgb="FFC0C0C0"/>
        <bgColor indexed="64"/>
      </patternFill>
    </fill>
    <fill>
      <patternFill patternType="solid">
        <fgColor rgb="FF969696"/>
        <bgColor indexed="64"/>
      </patternFill>
    </fill>
    <fill>
      <patternFill patternType="solid">
        <fgColor theme="8" tint="0.59999389629810485"/>
        <bgColor indexed="64"/>
      </patternFill>
    </fill>
    <fill>
      <patternFill patternType="solid">
        <fgColor theme="1" tint="0.34998626667073579"/>
        <bgColor indexed="64"/>
      </patternFill>
    </fill>
    <fill>
      <patternFill patternType="solid">
        <fgColor rgb="FFB4C6E7"/>
        <bgColor indexed="64"/>
      </patternFill>
    </fill>
    <fill>
      <patternFill patternType="solid">
        <fgColor rgb="FFFFC000"/>
        <bgColor indexed="64"/>
      </patternFill>
    </fill>
    <fill>
      <patternFill patternType="solid">
        <fgColor rgb="FFC10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1"/>
      </left>
      <right style="medium">
        <color theme="1"/>
      </right>
      <top style="medium">
        <color theme="1"/>
      </top>
      <bottom style="medium">
        <color theme="1"/>
      </bottom>
      <diagonal/>
    </border>
    <border>
      <left style="medium">
        <color theme="0"/>
      </left>
      <right style="thick">
        <color theme="0"/>
      </right>
      <top style="medium">
        <color theme="0"/>
      </top>
      <bottom style="medium">
        <color theme="0"/>
      </bottom>
      <diagonal/>
    </border>
    <border>
      <left/>
      <right style="thick">
        <color theme="0"/>
      </right>
      <top style="medium">
        <color theme="0"/>
      </top>
      <bottom style="medium">
        <color theme="0"/>
      </bottom>
      <diagonal/>
    </border>
    <border>
      <left style="thick">
        <color theme="0"/>
      </left>
      <right/>
      <top style="medium">
        <color theme="0"/>
      </top>
      <bottom style="medium">
        <color theme="0"/>
      </bottom>
      <diagonal/>
    </border>
    <border>
      <left style="medium">
        <color theme="0"/>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style="medium">
        <color theme="0"/>
      </right>
      <top style="medium">
        <color theme="0"/>
      </top>
      <bottom style="medium">
        <color theme="0"/>
      </bottom>
      <diagonal/>
    </border>
    <border>
      <left/>
      <right style="medium">
        <color theme="1"/>
      </right>
      <top/>
      <bottom style="medium">
        <color theme="0"/>
      </bottom>
      <diagonal/>
    </border>
    <border>
      <left style="medium">
        <color theme="0"/>
      </left>
      <right style="medium">
        <color theme="1"/>
      </right>
      <top style="medium">
        <color theme="0"/>
      </top>
      <bottom style="medium">
        <color theme="0"/>
      </bottom>
      <diagonal/>
    </border>
    <border>
      <left style="medium">
        <color theme="1"/>
      </left>
      <right/>
      <top/>
      <bottom style="medium">
        <color theme="1"/>
      </bottom>
      <diagonal/>
    </border>
    <border>
      <left/>
      <right/>
      <top/>
      <bottom style="medium">
        <color theme="1"/>
      </bottom>
      <diagonal/>
    </border>
    <border>
      <left style="medium">
        <color theme="0"/>
      </left>
      <right style="medium">
        <color theme="0"/>
      </right>
      <top style="medium">
        <color theme="0"/>
      </top>
      <bottom style="medium">
        <color theme="1"/>
      </bottom>
      <diagonal/>
    </border>
    <border>
      <left/>
      <right style="medium">
        <color theme="1"/>
      </right>
      <top/>
      <bottom style="medium">
        <color theme="1"/>
      </bottom>
      <diagonal/>
    </border>
    <border>
      <left style="medium">
        <color theme="1"/>
      </left>
      <right style="medium">
        <color theme="0"/>
      </right>
      <top style="medium">
        <color theme="1"/>
      </top>
      <bottom/>
      <diagonal/>
    </border>
    <border>
      <left style="medium">
        <color theme="1"/>
      </left>
      <right style="medium">
        <color theme="0"/>
      </right>
      <top/>
      <bottom style="medium">
        <color theme="0"/>
      </bottom>
      <diagonal/>
    </border>
    <border>
      <left style="medium">
        <color theme="1"/>
      </left>
      <right style="medium">
        <color theme="0"/>
      </right>
      <top/>
      <bottom/>
      <diagonal/>
    </border>
    <border>
      <left style="medium">
        <color theme="1"/>
      </left>
      <right/>
      <top/>
      <bottom style="medium">
        <color theme="0"/>
      </bottom>
      <diagonal/>
    </border>
    <border>
      <left style="thin">
        <color theme="0"/>
      </left>
      <right style="thin">
        <color theme="0"/>
      </right>
      <top style="thin">
        <color theme="0"/>
      </top>
      <bottom style="thin">
        <color theme="0"/>
      </bottom>
      <diagonal/>
    </border>
    <border>
      <left style="thin">
        <color theme="4" tint="0.39997558519241921"/>
      </left>
      <right style="medium">
        <color theme="0"/>
      </right>
      <top style="medium">
        <color theme="0"/>
      </top>
      <bottom/>
      <diagonal/>
    </border>
    <border>
      <left style="medium">
        <color theme="0"/>
      </left>
      <right style="thin">
        <color rgb="FFFF0000"/>
      </right>
      <top style="medium">
        <color theme="0"/>
      </top>
      <bottom style="medium">
        <color theme="0"/>
      </bottom>
      <diagonal/>
    </border>
    <border>
      <left style="medium">
        <color theme="0"/>
      </left>
      <right style="thin">
        <color rgb="FFFF0000"/>
      </right>
      <top style="medium">
        <color theme="0"/>
      </top>
      <bottom/>
      <diagonal/>
    </border>
    <border>
      <left/>
      <right style="thin">
        <color theme="0"/>
      </right>
      <top style="medium">
        <color theme="0"/>
      </top>
      <bottom style="medium">
        <color theme="0"/>
      </bottom>
      <diagonal/>
    </border>
    <border>
      <left style="medium">
        <color theme="0"/>
      </left>
      <right/>
      <top style="medium">
        <color theme="0"/>
      </top>
      <bottom style="thin">
        <color theme="4" tint="0.39997558519241921"/>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544">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vertical="top"/>
    </xf>
    <xf numFmtId="0" fontId="0" fillId="2" borderId="0" xfId="0" applyFill="1"/>
    <xf numFmtId="0" fontId="9" fillId="0" borderId="0" xfId="0" applyFont="1"/>
    <xf numFmtId="0" fontId="0" fillId="0" borderId="0" xfId="0" applyAlignment="1">
      <alignment horizontal="center"/>
    </xf>
    <xf numFmtId="4" fontId="0" fillId="0" borderId="0" xfId="0" applyNumberFormat="1"/>
    <xf numFmtId="0" fontId="10" fillId="0" borderId="0" xfId="0" applyFont="1"/>
    <xf numFmtId="0" fontId="1" fillId="0" borderId="0" xfId="0" applyFont="1" applyAlignment="1">
      <alignment vertical="top"/>
    </xf>
    <xf numFmtId="0" fontId="14" fillId="7" borderId="6" xfId="0" applyFont="1" applyFill="1" applyBorder="1" applyAlignment="1">
      <alignment horizontal="center" vertical="center" wrapText="1"/>
    </xf>
    <xf numFmtId="0" fontId="11" fillId="3" borderId="6"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7" borderId="6" xfId="0" applyFont="1" applyFill="1" applyBorder="1" applyAlignment="1">
      <alignment vertical="center"/>
    </xf>
    <xf numFmtId="0" fontId="2" fillId="0" borderId="0" xfId="0" applyFont="1"/>
    <xf numFmtId="0" fontId="3" fillId="0" borderId="0" xfId="0" applyFont="1"/>
    <xf numFmtId="0" fontId="3" fillId="0" borderId="0" xfId="0" applyFont="1" applyAlignment="1">
      <alignment horizontal="left"/>
    </xf>
    <xf numFmtId="0" fontId="10" fillId="0" borderId="0" xfId="0" applyFont="1" applyAlignment="1">
      <alignment horizontal="left"/>
    </xf>
    <xf numFmtId="0" fontId="20" fillId="6" borderId="3" xfId="0" applyFont="1" applyFill="1" applyBorder="1" applyAlignment="1">
      <alignment vertical="center"/>
    </xf>
    <xf numFmtId="0" fontId="20" fillId="6" borderId="3" xfId="0" applyFont="1" applyFill="1" applyBorder="1" applyAlignment="1">
      <alignment horizontal="center" vertical="center"/>
    </xf>
    <xf numFmtId="0" fontId="20" fillId="6" borderId="4" xfId="0" applyFont="1" applyFill="1" applyBorder="1" applyAlignment="1">
      <alignment vertical="center"/>
    </xf>
    <xf numFmtId="0" fontId="14" fillId="7" borderId="5" xfId="0" applyFont="1" applyFill="1" applyBorder="1" applyAlignment="1">
      <alignment horizontal="center" vertical="center"/>
    </xf>
    <xf numFmtId="0" fontId="17" fillId="3"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0" fillId="0" borderId="8" xfId="0" applyFont="1" applyBorder="1"/>
    <xf numFmtId="0" fontId="10" fillId="0" borderId="2" xfId="0" applyFont="1" applyBorder="1"/>
    <xf numFmtId="0" fontId="0" fillId="0" borderId="2" xfId="0" applyBorder="1"/>
    <xf numFmtId="0" fontId="23" fillId="11" borderId="6" xfId="0" applyFont="1" applyFill="1" applyBorder="1" applyAlignment="1">
      <alignment horizontal="center" vertical="center" wrapText="1"/>
    </xf>
    <xf numFmtId="0" fontId="14" fillId="7" borderId="3" xfId="0" applyFont="1" applyFill="1" applyBorder="1" applyAlignment="1">
      <alignment vertical="center"/>
    </xf>
    <xf numFmtId="0" fontId="14" fillId="7" borderId="4" xfId="0" applyFont="1" applyFill="1" applyBorder="1" applyAlignment="1">
      <alignment vertical="center"/>
    </xf>
    <xf numFmtId="0" fontId="14" fillId="7" borderId="5" xfId="0" applyFont="1" applyFill="1" applyBorder="1" applyAlignment="1">
      <alignment vertical="center"/>
    </xf>
    <xf numFmtId="0" fontId="14" fillId="7" borderId="6" xfId="0" applyFont="1" applyFill="1" applyBorder="1" applyAlignment="1">
      <alignment horizontal="center" vertical="center"/>
    </xf>
    <xf numFmtId="164" fontId="17" fillId="8" borderId="6" xfId="0" applyNumberFormat="1" applyFont="1" applyFill="1" applyBorder="1" applyAlignment="1">
      <alignment horizontal="center" vertical="center" wrapText="1"/>
    </xf>
    <xf numFmtId="1" fontId="17" fillId="8" borderId="6" xfId="0" applyNumberFormat="1" applyFont="1" applyFill="1" applyBorder="1" applyAlignment="1">
      <alignment horizontal="center" vertical="center" wrapText="1"/>
    </xf>
    <xf numFmtId="0" fontId="19" fillId="3" borderId="6" xfId="0" applyFont="1" applyFill="1" applyBorder="1" applyAlignment="1">
      <alignment horizontal="center" vertical="center" wrapText="1"/>
    </xf>
    <xf numFmtId="0" fontId="17" fillId="8" borderId="18" xfId="0" applyFont="1" applyFill="1" applyBorder="1" applyAlignment="1">
      <alignment horizontal="center" vertical="center" wrapText="1"/>
    </xf>
    <xf numFmtId="1" fontId="17" fillId="8" borderId="10" xfId="0" applyNumberFormat="1" applyFont="1" applyFill="1" applyBorder="1" applyAlignment="1">
      <alignment horizontal="center" vertical="center" wrapText="1"/>
    </xf>
    <xf numFmtId="0" fontId="17" fillId="8" borderId="3" xfId="0" applyFont="1" applyFill="1" applyBorder="1" applyAlignment="1">
      <alignment horizontal="center" vertical="center" wrapText="1"/>
    </xf>
    <xf numFmtId="1" fontId="17" fillId="3" borderId="6" xfId="0" applyNumberFormat="1" applyFont="1" applyFill="1" applyBorder="1" applyAlignment="1">
      <alignment horizontal="center" vertical="center" wrapText="1"/>
    </xf>
    <xf numFmtId="0" fontId="23" fillId="11" borderId="5"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 fillId="0" borderId="0" xfId="0" applyFont="1" applyAlignment="1">
      <alignment horizontal="left"/>
    </xf>
    <xf numFmtId="0" fontId="14" fillId="7" borderId="3" xfId="0" applyFont="1" applyFill="1" applyBorder="1" applyAlignment="1">
      <alignment horizontal="center" vertical="center" wrapText="1"/>
    </xf>
    <xf numFmtId="0" fontId="28" fillId="7" borderId="6" xfId="0" applyFont="1" applyFill="1" applyBorder="1" applyAlignment="1">
      <alignment vertical="center" wrapText="1"/>
    </xf>
    <xf numFmtId="0" fontId="28" fillId="0" borderId="0" xfId="0" applyFont="1" applyAlignment="1">
      <alignment vertical="center" wrapText="1"/>
    </xf>
    <xf numFmtId="0" fontId="11" fillId="8" borderId="6" xfId="0" applyFont="1" applyFill="1" applyBorder="1" applyAlignment="1">
      <alignment horizontal="left" vertical="center" indent="1"/>
    </xf>
    <xf numFmtId="0" fontId="11" fillId="0" borderId="0" xfId="0" applyFont="1" applyAlignment="1">
      <alignment horizontal="left" vertical="center" indent="1"/>
    </xf>
    <xf numFmtId="0" fontId="29" fillId="0" borderId="0" xfId="0" applyFont="1"/>
    <xf numFmtId="0" fontId="12" fillId="3" borderId="6" xfId="0" applyFont="1" applyFill="1" applyBorder="1" applyAlignment="1">
      <alignment horizontal="center" vertical="center" wrapText="1"/>
    </xf>
    <xf numFmtId="0" fontId="12" fillId="9" borderId="6" xfId="0" applyFont="1" applyFill="1" applyBorder="1" applyAlignment="1">
      <alignment horizontal="left" vertical="center" wrapText="1"/>
    </xf>
    <xf numFmtId="0" fontId="11" fillId="0" borderId="6" xfId="0" applyFont="1" applyBorder="1" applyAlignment="1">
      <alignment vertical="center" wrapText="1"/>
    </xf>
    <xf numFmtId="0" fontId="11" fillId="10" borderId="6"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30" fillId="7" borderId="15" xfId="0" applyFont="1" applyFill="1" applyBorder="1" applyAlignment="1">
      <alignment vertical="center" wrapText="1"/>
    </xf>
    <xf numFmtId="0" fontId="31" fillId="6" borderId="3" xfId="0" applyFont="1" applyFill="1" applyBorder="1" applyAlignment="1">
      <alignment vertical="center"/>
    </xf>
    <xf numFmtId="0" fontId="11" fillId="3" borderId="6" xfId="0" applyFont="1" applyFill="1" applyBorder="1" applyAlignment="1">
      <alignment horizontal="left" vertical="center" indent="1"/>
    </xf>
    <xf numFmtId="0" fontId="11" fillId="3" borderId="6" xfId="0" applyFont="1" applyFill="1" applyBorder="1" applyAlignment="1">
      <alignment horizontal="center" vertical="center" wrapText="1"/>
    </xf>
    <xf numFmtId="0" fontId="11" fillId="3" borderId="6" xfId="0" applyFont="1" applyFill="1" applyBorder="1" applyAlignment="1">
      <alignment horizontal="left" vertical="center" wrapText="1" indent="1"/>
    </xf>
    <xf numFmtId="0" fontId="11" fillId="8" borderId="6" xfId="2" applyNumberFormat="1" applyFont="1" applyFill="1" applyBorder="1" applyAlignment="1">
      <alignment horizontal="center" vertical="center"/>
    </xf>
    <xf numFmtId="0" fontId="3" fillId="0" borderId="0" xfId="0" applyFont="1" applyAlignment="1">
      <alignment horizontal="center"/>
    </xf>
    <xf numFmtId="0" fontId="28" fillId="7" borderId="9" xfId="0" applyFont="1" applyFill="1" applyBorder="1" applyAlignment="1">
      <alignment vertical="center" wrapText="1"/>
    </xf>
    <xf numFmtId="0" fontId="28" fillId="7" borderId="7" xfId="0" applyFont="1" applyFill="1" applyBorder="1" applyAlignment="1">
      <alignment vertical="center" wrapText="1"/>
    </xf>
    <xf numFmtId="0" fontId="28" fillId="7" borderId="12" xfId="0" applyFont="1" applyFill="1" applyBorder="1" applyAlignment="1">
      <alignment vertical="center" wrapText="1"/>
    </xf>
    <xf numFmtId="0" fontId="30" fillId="7" borderId="14" xfId="0" applyFont="1" applyFill="1" applyBorder="1" applyAlignment="1">
      <alignment vertical="center"/>
    </xf>
    <xf numFmtId="0" fontId="31" fillId="6" borderId="7" xfId="0" applyFont="1" applyFill="1" applyBorder="1" applyAlignment="1">
      <alignment vertical="center"/>
    </xf>
    <xf numFmtId="0" fontId="28" fillId="7" borderId="10" xfId="0" applyFont="1" applyFill="1" applyBorder="1" applyAlignment="1">
      <alignment vertical="center" wrapText="1"/>
    </xf>
    <xf numFmtId="0" fontId="14" fillId="7" borderId="16" xfId="0" applyFont="1" applyFill="1" applyBorder="1" applyAlignment="1">
      <alignment vertical="center"/>
    </xf>
    <xf numFmtId="0" fontId="20" fillId="6" borderId="3" xfId="0" applyFont="1" applyFill="1" applyBorder="1" applyAlignment="1">
      <alignment vertical="center" wrapText="1"/>
    </xf>
    <xf numFmtId="0" fontId="19" fillId="3" borderId="7"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0" fillId="0" borderId="25" xfId="0" applyBorder="1"/>
    <xf numFmtId="0" fontId="0" fillId="0" borderId="26" xfId="0" applyBorder="1"/>
    <xf numFmtId="0" fontId="19" fillId="3" borderId="27" xfId="0" applyFont="1" applyFill="1" applyBorder="1" applyAlignment="1">
      <alignment horizontal="center" vertical="center" wrapText="1"/>
    </xf>
    <xf numFmtId="0" fontId="0" fillId="5" borderId="0" xfId="0" applyFill="1" applyAlignment="1">
      <alignment horizontal="left" vertical="center"/>
    </xf>
    <xf numFmtId="0" fontId="0" fillId="5" borderId="0" xfId="0" applyFill="1" applyAlignment="1">
      <alignment vertical="center"/>
    </xf>
    <xf numFmtId="0" fontId="0" fillId="5" borderId="0" xfId="0" applyFill="1" applyAlignment="1">
      <alignment vertical="center" wrapText="1"/>
    </xf>
    <xf numFmtId="0" fontId="19" fillId="3" borderId="29"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0" fillId="0" borderId="30" xfId="0" applyBorder="1"/>
    <xf numFmtId="0" fontId="0" fillId="0" borderId="31" xfId="0" applyBorder="1"/>
    <xf numFmtId="0" fontId="17" fillId="8" borderId="32" xfId="0" applyFont="1" applyFill="1" applyBorder="1" applyAlignment="1">
      <alignment horizontal="center" vertical="center" wrapText="1"/>
    </xf>
    <xf numFmtId="0" fontId="0" fillId="0" borderId="33" xfId="0" applyBorder="1"/>
    <xf numFmtId="0" fontId="14" fillId="7" borderId="34" xfId="0" applyFont="1" applyFill="1" applyBorder="1" applyAlignment="1">
      <alignment horizontal="center" vertical="center"/>
    </xf>
    <xf numFmtId="0" fontId="19" fillId="3" borderId="35" xfId="0" applyFont="1" applyFill="1" applyBorder="1" applyAlignment="1">
      <alignment horizontal="center" vertical="center" wrapText="1"/>
    </xf>
    <xf numFmtId="0" fontId="19" fillId="3" borderId="36" xfId="0" applyFont="1" applyFill="1" applyBorder="1" applyAlignment="1">
      <alignment horizontal="center" vertical="center" wrapText="1"/>
    </xf>
    <xf numFmtId="164" fontId="19" fillId="8" borderId="37" xfId="0" applyNumberFormat="1" applyFont="1" applyFill="1" applyBorder="1" applyAlignment="1">
      <alignment vertical="center" wrapText="1"/>
    </xf>
    <xf numFmtId="164" fontId="19" fillId="0" borderId="15" xfId="0" applyNumberFormat="1" applyFont="1" applyBorder="1" applyAlignment="1">
      <alignment vertical="center" wrapText="1"/>
    </xf>
    <xf numFmtId="0" fontId="6" fillId="5" borderId="0" xfId="0" applyFont="1" applyFill="1" applyAlignment="1">
      <alignment vertical="center"/>
    </xf>
    <xf numFmtId="49" fontId="0" fillId="5" borderId="0" xfId="0" applyNumberFormat="1" applyFill="1" applyAlignment="1">
      <alignment vertical="center"/>
    </xf>
    <xf numFmtId="0" fontId="0" fillId="0" borderId="26" xfId="0" applyBorder="1" applyAlignment="1">
      <alignment vertical="center"/>
    </xf>
    <xf numFmtId="0" fontId="20" fillId="6" borderId="6" xfId="0" applyFont="1" applyFill="1" applyBorder="1" applyAlignment="1">
      <alignment vertical="center"/>
    </xf>
    <xf numFmtId="0" fontId="0" fillId="0" borderId="6" xfId="0" applyBorder="1"/>
    <xf numFmtId="0" fontId="0" fillId="0" borderId="6" xfId="0" applyBorder="1" applyAlignment="1">
      <alignment horizontal="center"/>
    </xf>
    <xf numFmtId="0" fontId="17" fillId="0" borderId="6" xfId="0" applyFont="1" applyBorder="1" applyAlignment="1">
      <alignment horizontal="center" vertical="center" wrapText="1"/>
    </xf>
    <xf numFmtId="0" fontId="0" fillId="0" borderId="3" xfId="0" applyBorder="1"/>
    <xf numFmtId="0" fontId="0" fillId="0" borderId="5" xfId="0" applyBorder="1"/>
    <xf numFmtId="0" fontId="11" fillId="8" borderId="6" xfId="0" applyFont="1" applyFill="1" applyBorder="1" applyAlignment="1">
      <alignment horizontal="left" vertical="center" wrapText="1" indent="1"/>
    </xf>
    <xf numFmtId="165" fontId="17" fillId="8" borderId="6" xfId="1" applyNumberFormat="1" applyFont="1" applyFill="1" applyBorder="1" applyAlignment="1">
      <alignment horizontal="center" vertical="center"/>
    </xf>
    <xf numFmtId="165" fontId="19" fillId="8" borderId="3" xfId="1" applyNumberFormat="1" applyFont="1" applyFill="1" applyBorder="1" applyAlignment="1">
      <alignment horizontal="center" vertical="center"/>
    </xf>
    <xf numFmtId="0" fontId="30" fillId="0" borderId="15" xfId="0" applyFont="1" applyBorder="1" applyAlignment="1">
      <alignment vertical="center" wrapText="1"/>
    </xf>
    <xf numFmtId="0" fontId="31" fillId="6" borderId="6" xfId="0" applyFont="1" applyFill="1" applyBorder="1" applyAlignment="1">
      <alignment horizontal="right" vertical="center"/>
    </xf>
    <xf numFmtId="0" fontId="32" fillId="8" borderId="6" xfId="2" applyNumberFormat="1" applyFont="1" applyFill="1" applyBorder="1" applyAlignment="1">
      <alignment horizontal="center" vertical="center"/>
    </xf>
    <xf numFmtId="0" fontId="31" fillId="0" borderId="4" xfId="0" applyFont="1" applyBorder="1" applyAlignment="1">
      <alignment vertical="center"/>
    </xf>
    <xf numFmtId="0" fontId="11" fillId="0" borderId="4" xfId="0" applyFont="1" applyBorder="1" applyAlignment="1">
      <alignment horizontal="left" vertical="center" indent="1"/>
    </xf>
    <xf numFmtId="0" fontId="11" fillId="9" borderId="6" xfId="0"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1" fillId="10" borderId="3" xfId="0" applyFont="1" applyFill="1" applyBorder="1" applyAlignment="1" applyProtection="1">
      <alignment horizontal="center" vertical="center"/>
      <protection locked="0"/>
    </xf>
    <xf numFmtId="164" fontId="20" fillId="6" borderId="6" xfId="0" applyNumberFormat="1" applyFont="1" applyFill="1" applyBorder="1" applyAlignment="1">
      <alignment vertical="center"/>
    </xf>
    <xf numFmtId="164" fontId="17" fillId="3" borderId="6" xfId="0" applyNumberFormat="1" applyFont="1" applyFill="1" applyBorder="1" applyAlignment="1">
      <alignment horizontal="center" vertical="center" wrapText="1"/>
    </xf>
    <xf numFmtId="0" fontId="20" fillId="6" borderId="6" xfId="0" applyFont="1" applyFill="1" applyBorder="1" applyAlignment="1">
      <alignment horizontal="center" vertical="center" wrapText="1"/>
    </xf>
    <xf numFmtId="0" fontId="17" fillId="8" borderId="6" xfId="0" applyFont="1" applyFill="1" applyBorder="1" applyAlignment="1">
      <alignment horizontal="left" vertical="center" wrapText="1"/>
    </xf>
    <xf numFmtId="4" fontId="0" fillId="0" borderId="6" xfId="0" applyNumberFormat="1" applyBorder="1"/>
    <xf numFmtId="4" fontId="11" fillId="0" borderId="6" xfId="0" applyNumberFormat="1" applyFont="1" applyBorder="1" applyAlignment="1">
      <alignment horizontal="center"/>
    </xf>
    <xf numFmtId="0" fontId="20" fillId="6" borderId="5" xfId="0" applyFont="1" applyFill="1" applyBorder="1" applyAlignment="1">
      <alignment vertical="center"/>
    </xf>
    <xf numFmtId="167" fontId="20" fillId="6" borderId="6" xfId="0" applyNumberFormat="1" applyFont="1" applyFill="1" applyBorder="1" applyAlignment="1">
      <alignment horizontal="right" vertical="center"/>
    </xf>
    <xf numFmtId="167" fontId="19" fillId="8" borderId="6" xfId="0" applyNumberFormat="1" applyFont="1" applyFill="1" applyBorder="1" applyAlignment="1">
      <alignment horizontal="center" vertical="center" wrapText="1"/>
    </xf>
    <xf numFmtId="0" fontId="20" fillId="6"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0" fillId="6" borderId="5" xfId="0" applyFont="1" applyFill="1" applyBorder="1" applyAlignment="1">
      <alignment horizontal="center" vertical="center"/>
    </xf>
    <xf numFmtId="0" fontId="19"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19" fillId="0" borderId="0" xfId="0" applyFont="1" applyAlignment="1">
      <alignment horizontal="center" vertical="center" wrapText="1"/>
    </xf>
    <xf numFmtId="1" fontId="17" fillId="0" borderId="0" xfId="0" applyNumberFormat="1" applyFont="1" applyAlignment="1">
      <alignment horizontal="center" vertical="center" wrapText="1"/>
    </xf>
    <xf numFmtId="0" fontId="17" fillId="3" borderId="6" xfId="0" applyFont="1" applyFill="1" applyBorder="1" applyAlignment="1">
      <alignment vertical="center" wrapText="1"/>
    </xf>
    <xf numFmtId="0" fontId="17" fillId="0" borderId="6" xfId="0" applyFont="1" applyBorder="1" applyAlignment="1">
      <alignment vertical="center" wrapText="1"/>
    </xf>
    <xf numFmtId="0" fontId="19" fillId="3" borderId="6" xfId="0" applyFont="1" applyFill="1" applyBorder="1" applyAlignment="1">
      <alignment horizontal="left" vertical="center" wrapText="1"/>
    </xf>
    <xf numFmtId="0" fontId="24" fillId="3" borderId="6" xfId="0" applyFont="1" applyFill="1" applyBorder="1" applyAlignment="1">
      <alignment horizontal="center" vertical="center" wrapText="1"/>
    </xf>
    <xf numFmtId="165" fontId="17" fillId="8" borderId="6" xfId="1" applyNumberFormat="1" applyFont="1" applyFill="1" applyBorder="1" applyAlignment="1">
      <alignment horizontal="center" vertical="center" wrapText="1"/>
    </xf>
    <xf numFmtId="0" fontId="20" fillId="6" borderId="4" xfId="0" applyFont="1" applyFill="1" applyBorder="1" applyAlignment="1">
      <alignment vertical="center" wrapText="1"/>
    </xf>
    <xf numFmtId="0" fontId="26" fillId="3" borderId="6" xfId="0" applyFont="1" applyFill="1" applyBorder="1" applyAlignment="1">
      <alignment horizontal="center" vertical="center" wrapText="1"/>
    </xf>
    <xf numFmtId="0" fontId="17" fillId="7" borderId="6" xfId="0" applyFont="1" applyFill="1" applyBorder="1" applyAlignment="1">
      <alignment vertical="center" wrapText="1"/>
    </xf>
    <xf numFmtId="0" fontId="14" fillId="7" borderId="3" xfId="0" applyFont="1" applyFill="1" applyBorder="1" applyAlignment="1">
      <alignment vertical="center" wrapText="1"/>
    </xf>
    <xf numFmtId="0" fontId="14" fillId="7" borderId="4" xfId="0" applyFont="1" applyFill="1" applyBorder="1" applyAlignment="1">
      <alignment vertical="center" wrapText="1"/>
    </xf>
    <xf numFmtId="0" fontId="0" fillId="0" borderId="6" xfId="0" applyBorder="1" applyAlignment="1">
      <alignment vertical="top" wrapText="1"/>
    </xf>
    <xf numFmtId="0" fontId="0" fillId="0" borderId="6" xfId="0" applyBorder="1" applyAlignment="1">
      <alignment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9" fillId="3" borderId="6" xfId="0" applyFont="1" applyFill="1" applyBorder="1" applyAlignment="1">
      <alignment vertical="center" wrapText="1"/>
    </xf>
    <xf numFmtId="0" fontId="14" fillId="7" borderId="6" xfId="0" applyFont="1" applyFill="1" applyBorder="1" applyAlignment="1">
      <alignment vertical="center" wrapText="1"/>
    </xf>
    <xf numFmtId="0" fontId="14" fillId="0" borderId="6" xfId="0" applyFont="1" applyBorder="1" applyAlignment="1">
      <alignment vertical="center" wrapText="1"/>
    </xf>
    <xf numFmtId="0" fontId="24" fillId="0" borderId="6" xfId="0" applyFont="1" applyBorder="1" applyAlignment="1">
      <alignment horizontal="center" vertical="center" wrapText="1"/>
    </xf>
    <xf numFmtId="165" fontId="19" fillId="8" borderId="6" xfId="1" applyNumberFormat="1" applyFont="1" applyFill="1" applyBorder="1" applyAlignment="1">
      <alignment horizontal="center" vertical="center" wrapText="1"/>
    </xf>
    <xf numFmtId="0" fontId="17" fillId="0" borderId="6" xfId="0" applyFont="1" applyBorder="1" applyAlignment="1">
      <alignment horizontal="left" vertical="center" wrapText="1"/>
    </xf>
    <xf numFmtId="0" fontId="0" fillId="0" borderId="6" xfId="0" applyBorder="1" applyAlignment="1">
      <alignment vertical="center" wrapText="1"/>
    </xf>
    <xf numFmtId="0" fontId="19" fillId="0" borderId="6" xfId="0" applyFont="1" applyBorder="1" applyAlignment="1">
      <alignment vertical="center" wrapText="1"/>
    </xf>
    <xf numFmtId="0" fontId="14" fillId="7" borderId="6" xfId="0" applyFont="1" applyFill="1" applyBorder="1" applyAlignment="1">
      <alignment horizontal="left" vertical="center" wrapText="1"/>
    </xf>
    <xf numFmtId="0" fontId="19" fillId="0" borderId="6" xfId="0" applyFont="1" applyBorder="1" applyAlignment="1">
      <alignment horizontal="center" vertical="center" wrapText="1"/>
    </xf>
    <xf numFmtId="0" fontId="17" fillId="7" borderId="4" xfId="0" applyFont="1" applyFill="1" applyBorder="1" applyAlignment="1">
      <alignment horizontal="center" vertical="center" wrapText="1"/>
    </xf>
    <xf numFmtId="0" fontId="0" fillId="0" borderId="6" xfId="0" applyBorder="1" applyAlignment="1">
      <alignment horizontal="center" wrapText="1"/>
    </xf>
    <xf numFmtId="0" fontId="26" fillId="0" borderId="6" xfId="0" applyFont="1" applyBorder="1" applyAlignment="1">
      <alignment horizontal="center" vertical="center" wrapText="1"/>
    </xf>
    <xf numFmtId="0" fontId="14" fillId="7" borderId="15" xfId="0" applyFont="1" applyFill="1" applyBorder="1" applyAlignment="1">
      <alignment vertical="center" wrapText="1"/>
    </xf>
    <xf numFmtId="0" fontId="17" fillId="3" borderId="3" xfId="0" applyFont="1" applyFill="1" applyBorder="1" applyAlignment="1">
      <alignment vertical="center" wrapText="1"/>
    </xf>
    <xf numFmtId="0" fontId="23" fillId="11" borderId="3" xfId="0" applyFont="1" applyFill="1" applyBorder="1" applyAlignment="1">
      <alignment vertical="center" wrapText="1"/>
    </xf>
    <xf numFmtId="0" fontId="14" fillId="7" borderId="6" xfId="0" applyFont="1" applyFill="1" applyBorder="1" applyAlignment="1">
      <alignment vertical="center"/>
    </xf>
    <xf numFmtId="0" fontId="14" fillId="0" borderId="5" xfId="0" applyFont="1" applyBorder="1" applyAlignment="1">
      <alignment horizontal="center" vertical="center"/>
    </xf>
    <xf numFmtId="0" fontId="26" fillId="0" borderId="6" xfId="0" applyFont="1" applyBorder="1" applyAlignment="1">
      <alignment horizontal="right" vertical="center"/>
    </xf>
    <xf numFmtId="0" fontId="0" fillId="4" borderId="0" xfId="0" applyFill="1"/>
    <xf numFmtId="0" fontId="11" fillId="0" borderId="6" xfId="0" applyFont="1" applyBorder="1" applyAlignment="1">
      <alignment vertical="center"/>
    </xf>
    <xf numFmtId="0" fontId="11" fillId="0" borderId="6" xfId="0" applyFont="1" applyBorder="1" applyAlignment="1">
      <alignment horizontal="left" vertical="center" indent="1"/>
    </xf>
    <xf numFmtId="0" fontId="28" fillId="7" borderId="6" xfId="0" applyFont="1" applyFill="1" applyBorder="1" applyAlignment="1">
      <alignment horizontal="center" vertical="center"/>
    </xf>
    <xf numFmtId="14" fontId="11" fillId="8" borderId="6" xfId="0" applyNumberFormat="1" applyFont="1" applyFill="1" applyBorder="1" applyAlignment="1">
      <alignment horizontal="left" vertical="center" wrapText="1"/>
    </xf>
    <xf numFmtId="0" fontId="3" fillId="0" borderId="6" xfId="0" applyFont="1" applyBorder="1"/>
    <xf numFmtId="0" fontId="3" fillId="0" borderId="6" xfId="0" applyFont="1" applyBorder="1" applyAlignment="1">
      <alignment vertical="center"/>
    </xf>
    <xf numFmtId="0" fontId="27" fillId="0" borderId="6" xfId="0" applyFont="1" applyBorder="1" applyAlignment="1">
      <alignment vertical="center"/>
    </xf>
    <xf numFmtId="14" fontId="11" fillId="0" borderId="6" xfId="0" applyNumberFormat="1" applyFont="1" applyBorder="1" applyAlignment="1">
      <alignment horizontal="left" vertical="center" wrapText="1"/>
    </xf>
    <xf numFmtId="0" fontId="3" fillId="0" borderId="6" xfId="0" applyFont="1" applyBorder="1" applyAlignment="1">
      <alignment wrapText="1"/>
    </xf>
    <xf numFmtId="0" fontId="3" fillId="0" borderId="6" xfId="0" applyFont="1" applyBorder="1" applyAlignment="1">
      <alignment vertical="top" wrapText="1"/>
    </xf>
    <xf numFmtId="0" fontId="3" fillId="0" borderId="6" xfId="0" applyFont="1" applyBorder="1" applyAlignment="1">
      <alignment vertical="top"/>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2" fillId="0" borderId="6" xfId="0" applyFont="1" applyBorder="1"/>
    <xf numFmtId="0" fontId="3" fillId="0" borderId="6" xfId="0" applyFont="1" applyBorder="1" applyAlignment="1">
      <alignment vertical="center" wrapText="1"/>
    </xf>
    <xf numFmtId="0" fontId="3" fillId="0" borderId="3" xfId="0" applyFont="1" applyBorder="1"/>
    <xf numFmtId="0" fontId="3" fillId="0" borderId="5" xfId="0" applyFont="1" applyBorder="1"/>
    <xf numFmtId="0" fontId="3" fillId="0" borderId="9" xfId="0" applyFont="1" applyBorder="1"/>
    <xf numFmtId="0" fontId="3" fillId="0" borderId="10" xfId="0" applyFont="1" applyBorder="1"/>
    <xf numFmtId="0" fontId="34" fillId="3" borderId="0" xfId="0" applyFont="1" applyFill="1" applyAlignment="1">
      <alignment horizontal="center" vertical="center" wrapText="1"/>
    </xf>
    <xf numFmtId="0" fontId="35" fillId="3" borderId="0" xfId="0" applyFont="1" applyFill="1" applyAlignment="1">
      <alignment horizontal="left" vertical="center" wrapText="1" indent="1"/>
    </xf>
    <xf numFmtId="0" fontId="17" fillId="3" borderId="0" xfId="0" applyFont="1" applyFill="1" applyAlignment="1">
      <alignment horizontal="left" vertical="center" wrapText="1" indent="3"/>
    </xf>
    <xf numFmtId="0" fontId="17" fillId="3" borderId="0" xfId="0" applyFont="1" applyFill="1" applyAlignment="1">
      <alignment horizontal="left" vertical="center" indent="3"/>
    </xf>
    <xf numFmtId="0" fontId="23" fillId="3" borderId="0" xfId="0" applyFont="1" applyFill="1" applyAlignment="1">
      <alignment horizontal="left" vertical="center" wrapText="1" indent="3"/>
    </xf>
    <xf numFmtId="0" fontId="19" fillId="3" borderId="0" xfId="0" applyFont="1" applyFill="1" applyAlignment="1">
      <alignment horizontal="left" vertical="center" indent="3"/>
    </xf>
    <xf numFmtId="0" fontId="36" fillId="3" borderId="0" xfId="0" applyFont="1" applyFill="1" applyAlignment="1">
      <alignment horizontal="left" vertical="center" indent="3"/>
    </xf>
    <xf numFmtId="0" fontId="17" fillId="3" borderId="0" xfId="0" quotePrefix="1" applyFont="1" applyFill="1" applyAlignment="1">
      <alignment horizontal="left" vertical="center" indent="3"/>
    </xf>
    <xf numFmtId="14" fontId="17" fillId="8" borderId="6" xfId="0" applyNumberFormat="1" applyFont="1" applyFill="1" applyBorder="1" applyAlignment="1">
      <alignment horizontal="left" vertical="center" wrapText="1"/>
    </xf>
    <xf numFmtId="168" fontId="11" fillId="0" borderId="0" xfId="0" applyNumberFormat="1" applyFont="1" applyAlignment="1" applyProtection="1">
      <alignment horizontal="center" vertical="center"/>
      <protection locked="0"/>
    </xf>
    <xf numFmtId="0" fontId="11" fillId="0" borderId="0" xfId="0" applyFont="1" applyAlignment="1">
      <alignment horizontal="left" vertical="center"/>
    </xf>
    <xf numFmtId="0" fontId="11" fillId="0" borderId="3"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11" fillId="3" borderId="9" xfId="0" applyFont="1" applyFill="1" applyBorder="1" applyAlignment="1">
      <alignment horizontal="left" vertical="center" indent="1"/>
    </xf>
    <xf numFmtId="0" fontId="11" fillId="9" borderId="12" xfId="0" applyFont="1" applyFill="1" applyBorder="1" applyAlignment="1" applyProtection="1">
      <alignment horizontal="center" vertical="center"/>
      <protection locked="0"/>
    </xf>
    <xf numFmtId="43" fontId="0" fillId="0" borderId="6" xfId="1" applyFont="1" applyBorder="1"/>
    <xf numFmtId="43" fontId="14" fillId="7" borderId="6" xfId="1" applyFont="1" applyFill="1" applyBorder="1" applyAlignment="1">
      <alignment horizontal="center" vertical="center" wrapText="1"/>
    </xf>
    <xf numFmtId="43" fontId="20" fillId="6" borderId="4" xfId="1" applyFont="1" applyFill="1" applyBorder="1" applyAlignment="1">
      <alignment vertical="center"/>
    </xf>
    <xf numFmtId="43" fontId="17" fillId="3" borderId="6" xfId="1" applyFont="1" applyFill="1" applyBorder="1" applyAlignment="1">
      <alignment horizontal="center" vertical="center" wrapText="1"/>
    </xf>
    <xf numFmtId="165" fontId="17" fillId="0" borderId="6" xfId="1" applyNumberFormat="1" applyFont="1" applyFill="1" applyBorder="1" applyAlignment="1">
      <alignment horizontal="center" vertical="center" wrapText="1"/>
    </xf>
    <xf numFmtId="165" fontId="19" fillId="0" borderId="6" xfId="1" applyNumberFormat="1" applyFont="1" applyFill="1" applyBorder="1" applyAlignment="1">
      <alignment horizontal="center" vertical="center" wrapText="1"/>
    </xf>
    <xf numFmtId="0" fontId="0" fillId="0" borderId="5" xfId="0" applyBorder="1" applyAlignment="1">
      <alignment horizontal="center"/>
    </xf>
    <xf numFmtId="2" fontId="17" fillId="8" borderId="6" xfId="0" applyNumberFormat="1"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9" xfId="0" applyFont="1" applyFill="1" applyBorder="1" applyAlignment="1">
      <alignment vertical="center" wrapText="1"/>
    </xf>
    <xf numFmtId="0" fontId="11" fillId="12" borderId="3" xfId="0" applyFont="1" applyFill="1" applyBorder="1" applyAlignment="1">
      <alignment horizontal="center" vertical="center"/>
    </xf>
    <xf numFmtId="2" fontId="17" fillId="8" borderId="7" xfId="0" applyNumberFormat="1" applyFont="1" applyFill="1" applyBorder="1" applyAlignment="1">
      <alignment horizontal="center" vertical="center" wrapText="1"/>
    </xf>
    <xf numFmtId="164" fontId="17" fillId="8" borderId="7" xfId="0" applyNumberFormat="1"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39" xfId="0" applyFont="1" applyFill="1" applyBorder="1" applyAlignment="1">
      <alignment horizontal="center" vertical="center" wrapText="1"/>
    </xf>
    <xf numFmtId="3" fontId="17" fillId="8" borderId="7" xfId="0" applyNumberFormat="1" applyFont="1" applyFill="1" applyBorder="1" applyAlignment="1">
      <alignment horizontal="center" vertical="center" wrapText="1"/>
    </xf>
    <xf numFmtId="0" fontId="20" fillId="6" borderId="0" xfId="0" applyFont="1" applyFill="1" applyAlignment="1">
      <alignment vertical="center" wrapText="1"/>
    </xf>
    <xf numFmtId="0" fontId="20" fillId="6" borderId="8" xfId="0" applyFont="1" applyFill="1" applyBorder="1" applyAlignment="1">
      <alignment horizontal="center" vertical="center" wrapText="1"/>
    </xf>
    <xf numFmtId="0" fontId="20" fillId="6" borderId="8" xfId="0" applyFont="1" applyFill="1" applyBorder="1" applyAlignment="1">
      <alignment vertical="center" wrapText="1"/>
    </xf>
    <xf numFmtId="0" fontId="0" fillId="0" borderId="5" xfId="0" applyBorder="1" applyAlignment="1">
      <alignment wrapText="1"/>
    </xf>
    <xf numFmtId="0" fontId="20" fillId="6" borderId="11" xfId="0" applyFont="1" applyFill="1" applyBorder="1" applyAlignment="1">
      <alignment vertical="center" wrapText="1"/>
    </xf>
    <xf numFmtId="164" fontId="17" fillId="8" borderId="12" xfId="0" applyNumberFormat="1" applyFont="1" applyFill="1" applyBorder="1" applyAlignment="1">
      <alignment horizontal="center" vertical="center" wrapText="1"/>
    </xf>
    <xf numFmtId="2" fontId="17"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164" fontId="0" fillId="13" borderId="13" xfId="0" applyNumberFormat="1" applyFill="1" applyBorder="1" applyAlignment="1">
      <alignment horizontal="center" vertical="center" wrapText="1"/>
    </xf>
    <xf numFmtId="164" fontId="0" fillId="14" borderId="7" xfId="0" applyNumberFormat="1" applyFill="1" applyBorder="1" applyAlignment="1">
      <alignment horizontal="center" vertical="center" wrapText="1"/>
    </xf>
    <xf numFmtId="164" fontId="0" fillId="15" borderId="3" xfId="0" applyNumberFormat="1" applyFill="1" applyBorder="1" applyAlignment="1">
      <alignment horizontal="center" vertical="center" wrapText="1"/>
    </xf>
    <xf numFmtId="1" fontId="0" fillId="15" borderId="3" xfId="0" applyNumberFormat="1" applyFill="1" applyBorder="1" applyAlignment="1">
      <alignment horizontal="center" vertical="center" wrapText="1"/>
    </xf>
    <xf numFmtId="164" fontId="0" fillId="13" borderId="9" xfId="0" applyNumberFormat="1" applyFill="1" applyBorder="1" applyAlignment="1">
      <alignment horizontal="center" vertical="center" wrapText="1"/>
    </xf>
    <xf numFmtId="1" fontId="0" fillId="8" borderId="3" xfId="0" applyNumberFormat="1" applyFill="1" applyBorder="1" applyAlignment="1">
      <alignment horizontal="center" vertical="center" wrapText="1"/>
    </xf>
    <xf numFmtId="164" fontId="0" fillId="8" borderId="7" xfId="0" applyNumberFormat="1" applyFill="1" applyBorder="1" applyAlignment="1">
      <alignment horizontal="center" vertical="center" wrapText="1"/>
    </xf>
    <xf numFmtId="164" fontId="0" fillId="8" borderId="9" xfId="0" applyNumberFormat="1" applyFill="1" applyBorder="1" applyAlignment="1">
      <alignment horizontal="center" vertical="center" wrapText="1"/>
    </xf>
    <xf numFmtId="164" fontId="0" fillId="8" borderId="13" xfId="0" applyNumberFormat="1" applyFill="1" applyBorder="1" applyAlignment="1">
      <alignment horizontal="center" vertical="center" wrapText="1"/>
    </xf>
    <xf numFmtId="2" fontId="0" fillId="13" borderId="9" xfId="0" applyNumberFormat="1" applyFill="1" applyBorder="1" applyAlignment="1">
      <alignment horizontal="center" vertical="center" wrapText="1"/>
    </xf>
    <xf numFmtId="2" fontId="0" fillId="15" borderId="6" xfId="0" applyNumberFormat="1" applyFill="1" applyBorder="1" applyAlignment="1">
      <alignment horizontal="center" vertical="center" wrapText="1"/>
    </xf>
    <xf numFmtId="2" fontId="0" fillId="14" borderId="9" xfId="0" applyNumberFormat="1" applyFill="1" applyBorder="1" applyAlignment="1">
      <alignment horizontal="center" vertical="center" wrapText="1"/>
    </xf>
    <xf numFmtId="2" fontId="0" fillId="14" borderId="7" xfId="0" applyNumberFormat="1" applyFill="1" applyBorder="1" applyAlignment="1">
      <alignment horizontal="center" vertical="center" wrapText="1"/>
    </xf>
    <xf numFmtId="2" fontId="0" fillId="15" borderId="3" xfId="0" applyNumberFormat="1" applyFill="1" applyBorder="1" applyAlignment="1">
      <alignment horizontal="center" vertical="center" wrapText="1"/>
    </xf>
    <xf numFmtId="2" fontId="0" fillId="8" borderId="7" xfId="0" applyNumberFormat="1" applyFill="1" applyBorder="1" applyAlignment="1">
      <alignment horizontal="center" vertical="center" wrapText="1"/>
    </xf>
    <xf numFmtId="2" fontId="0" fillId="8" borderId="9" xfId="0" applyNumberFormat="1" applyFill="1" applyBorder="1" applyAlignment="1">
      <alignment horizontal="center" vertical="center" wrapText="1"/>
    </xf>
    <xf numFmtId="2" fontId="0" fillId="8" borderId="3" xfId="0" applyNumberFormat="1" applyFill="1" applyBorder="1" applyAlignment="1">
      <alignment horizontal="center" vertical="center" wrapText="1"/>
    </xf>
    <xf numFmtId="0" fontId="0" fillId="0" borderId="40" xfId="0" applyBorder="1"/>
    <xf numFmtId="0" fontId="33" fillId="7" borderId="3" xfId="0" applyFont="1" applyFill="1" applyBorder="1" applyAlignment="1">
      <alignment vertical="center" wrapText="1"/>
    </xf>
    <xf numFmtId="0" fontId="33" fillId="7" borderId="4" xfId="0" applyFont="1" applyFill="1" applyBorder="1" applyAlignment="1">
      <alignment vertical="center" wrapText="1"/>
    </xf>
    <xf numFmtId="0" fontId="33" fillId="7" borderId="5" xfId="0" applyFont="1" applyFill="1" applyBorder="1" applyAlignment="1">
      <alignment vertical="center" wrapText="1"/>
    </xf>
    <xf numFmtId="0" fontId="33" fillId="0" borderId="4" xfId="0" applyFont="1" applyBorder="1" applyAlignment="1">
      <alignment vertical="center" wrapText="1"/>
    </xf>
    <xf numFmtId="0" fontId="33" fillId="0" borderId="5" xfId="0" applyFont="1" applyBorder="1" applyAlignment="1">
      <alignment vertical="center" wrapText="1"/>
    </xf>
    <xf numFmtId="1" fontId="0" fillId="0" borderId="3" xfId="0" applyNumberFormat="1" applyBorder="1" applyAlignment="1">
      <alignment horizontal="center" vertical="center" wrapText="1"/>
    </xf>
    <xf numFmtId="0" fontId="33" fillId="0" borderId="3" xfId="0" applyFont="1" applyBorder="1" applyAlignment="1">
      <alignment vertical="center" wrapText="1"/>
    </xf>
    <xf numFmtId="164" fontId="17" fillId="0" borderId="12" xfId="0" applyNumberFormat="1" applyFont="1" applyBorder="1" applyAlignment="1">
      <alignment horizontal="center"/>
    </xf>
    <xf numFmtId="164" fontId="17" fillId="0" borderId="4" xfId="0" applyNumberFormat="1" applyFont="1" applyBorder="1" applyAlignment="1">
      <alignment horizontal="center"/>
    </xf>
    <xf numFmtId="1" fontId="17" fillId="0" borderId="41" xfId="0" applyNumberFormat="1" applyFont="1" applyBorder="1" applyAlignment="1">
      <alignment horizontal="center" vertical="center" wrapText="1"/>
    </xf>
    <xf numFmtId="0" fontId="0" fillId="0" borderId="40" xfId="0" applyBorder="1" applyAlignment="1">
      <alignment wrapText="1"/>
    </xf>
    <xf numFmtId="1" fontId="17" fillId="0" borderId="40" xfId="0" applyNumberFormat="1" applyFont="1" applyBorder="1" applyAlignment="1">
      <alignment horizontal="center" vertical="center" wrapText="1"/>
    </xf>
    <xf numFmtId="164" fontId="17" fillId="3" borderId="9" xfId="0" applyNumberFormat="1" applyFont="1" applyFill="1" applyBorder="1" applyAlignment="1">
      <alignment horizontal="center" vertical="center" wrapText="1"/>
    </xf>
    <xf numFmtId="0" fontId="20" fillId="0" borderId="5" xfId="0" applyFont="1" applyBorder="1" applyAlignment="1">
      <alignment vertical="center" wrapText="1"/>
    </xf>
    <xf numFmtId="1" fontId="0" fillId="0" borderId="5" xfId="0" applyNumberFormat="1" applyBorder="1" applyAlignment="1">
      <alignment vertical="center" wrapText="1"/>
    </xf>
    <xf numFmtId="0" fontId="20" fillId="0" borderId="4" xfId="0" applyFont="1" applyBorder="1" applyAlignment="1">
      <alignment vertical="center" wrapText="1"/>
    </xf>
    <xf numFmtId="1" fontId="0" fillId="0" borderId="4" xfId="0" applyNumberFormat="1" applyBorder="1" applyAlignment="1">
      <alignment vertical="center" wrapText="1"/>
    </xf>
    <xf numFmtId="0" fontId="40" fillId="6" borderId="3" xfId="0" applyFont="1" applyFill="1" applyBorder="1" applyAlignment="1">
      <alignment horizontal="center" vertical="center" wrapText="1"/>
    </xf>
    <xf numFmtId="0" fontId="17" fillId="7" borderId="4" xfId="0" applyFont="1" applyFill="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vertical="center" wrapText="1"/>
    </xf>
    <xf numFmtId="0" fontId="21"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 fillId="0" borderId="6" xfId="0" applyFont="1" applyBorder="1" applyAlignment="1">
      <alignment horizontal="left" wrapText="1"/>
    </xf>
    <xf numFmtId="1" fontId="17" fillId="0" borderId="6" xfId="0" applyNumberFormat="1" applyFont="1" applyBorder="1" applyAlignment="1">
      <alignment horizontal="center" vertical="center" wrapText="1"/>
    </xf>
    <xf numFmtId="0" fontId="0" fillId="0" borderId="6" xfId="0" applyBorder="1" applyAlignment="1">
      <alignment horizontal="center" vertical="center" wrapText="1"/>
    </xf>
    <xf numFmtId="0" fontId="17" fillId="0" borderId="5" xfId="0" applyFont="1" applyBorder="1" applyAlignment="1">
      <alignment vertical="center" wrapText="1"/>
    </xf>
    <xf numFmtId="0" fontId="17" fillId="3" borderId="6" xfId="0" applyFont="1" applyFill="1" applyBorder="1" applyAlignment="1">
      <alignment horizontal="left" vertical="center" wrapText="1"/>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14" fillId="7" borderId="3"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0" fillId="0" borderId="38" xfId="0" applyBorder="1"/>
    <xf numFmtId="49" fontId="11" fillId="9" borderId="3" xfId="0" applyNumberFormat="1" applyFont="1" applyFill="1" applyBorder="1" applyAlignment="1" applyProtection="1">
      <alignment horizontal="center" vertical="center"/>
      <protection locked="0"/>
    </xf>
    <xf numFmtId="0" fontId="11" fillId="3" borderId="3" xfId="0" applyFont="1" applyFill="1" applyBorder="1" applyAlignment="1">
      <alignment horizontal="left" vertical="center" indent="1"/>
    </xf>
    <xf numFmtId="0" fontId="11" fillId="9" borderId="4" xfId="0" applyFont="1" applyFill="1" applyBorder="1" applyAlignment="1" applyProtection="1">
      <alignment horizontal="center" vertical="center"/>
      <protection locked="0"/>
    </xf>
    <xf numFmtId="0" fontId="11" fillId="0" borderId="7" xfId="0" applyFont="1" applyBorder="1" applyAlignment="1">
      <alignment horizontal="left" vertical="center"/>
    </xf>
    <xf numFmtId="0" fontId="11" fillId="0" borderId="12" xfId="0" applyFont="1" applyBorder="1" applyAlignment="1">
      <alignment horizontal="left" vertical="center"/>
    </xf>
    <xf numFmtId="17" fontId="17" fillId="3" borderId="0" xfId="0" quotePrefix="1" applyNumberFormat="1" applyFont="1" applyFill="1" applyAlignment="1">
      <alignment horizontal="left" vertical="center" indent="3"/>
    </xf>
    <xf numFmtId="0" fontId="20" fillId="6" borderId="43" xfId="0" applyFont="1" applyFill="1" applyBorder="1" applyAlignment="1">
      <alignment vertical="center" wrapText="1"/>
    </xf>
    <xf numFmtId="164" fontId="17" fillId="8" borderId="43" xfId="0" applyNumberFormat="1" applyFont="1" applyFill="1" applyBorder="1" applyAlignment="1">
      <alignment horizontal="center" vertical="center" wrapText="1"/>
    </xf>
    <xf numFmtId="0" fontId="28" fillId="0" borderId="6" xfId="0" applyFont="1" applyBorder="1" applyAlignment="1">
      <alignment horizontal="center" vertical="center"/>
    </xf>
    <xf numFmtId="0" fontId="11" fillId="0" borderId="6" xfId="0" applyFont="1" applyBorder="1" applyAlignment="1">
      <alignment horizontal="left" vertical="center" wrapText="1"/>
    </xf>
    <xf numFmtId="3" fontId="20" fillId="6" borderId="3" xfId="0" applyNumberFormat="1" applyFont="1" applyFill="1" applyBorder="1" applyAlignment="1">
      <alignment vertical="center"/>
    </xf>
    <xf numFmtId="0" fontId="0" fillId="8" borderId="0" xfId="0" applyFill="1"/>
    <xf numFmtId="0" fontId="1" fillId="8" borderId="0" xfId="0" applyFont="1" applyFill="1" applyAlignment="1">
      <alignment horizontal="left"/>
    </xf>
    <xf numFmtId="0" fontId="0" fillId="8" borderId="0" xfId="0" applyFill="1" applyAlignment="1">
      <alignment horizontal="left"/>
    </xf>
    <xf numFmtId="0" fontId="1" fillId="0" borderId="0" xfId="0" applyFont="1" applyAlignment="1">
      <alignment horizontal="left"/>
    </xf>
    <xf numFmtId="0" fontId="1" fillId="0" borderId="0" xfId="0" applyFont="1" applyAlignment="1">
      <alignment horizontal="center"/>
    </xf>
    <xf numFmtId="0" fontId="0" fillId="0" borderId="0" xfId="0" applyAlignment="1">
      <alignment horizontal="left"/>
    </xf>
    <xf numFmtId="0" fontId="1" fillId="8" borderId="0" xfId="0" applyFont="1" applyFill="1" applyAlignment="1">
      <alignment horizontal="center"/>
    </xf>
    <xf numFmtId="0" fontId="0" fillId="8" borderId="0" xfId="0" applyFill="1" applyAlignment="1">
      <alignment horizontal="center"/>
    </xf>
    <xf numFmtId="0" fontId="1" fillId="4" borderId="0" xfId="0" applyFont="1" applyFill="1" applyAlignment="1">
      <alignment horizontal="left"/>
    </xf>
    <xf numFmtId="0" fontId="0" fillId="4" borderId="0" xfId="0" applyFill="1" applyAlignment="1">
      <alignment horizontal="left"/>
    </xf>
    <xf numFmtId="0" fontId="0" fillId="4" borderId="0" xfId="0" applyFill="1" applyAlignment="1">
      <alignment horizontal="center"/>
    </xf>
    <xf numFmtId="0" fontId="42" fillId="0" borderId="6" xfId="0" applyFont="1" applyBorder="1"/>
    <xf numFmtId="0" fontId="14" fillId="7" borderId="15" xfId="0" applyFont="1" applyFill="1" applyBorder="1" applyAlignment="1">
      <alignment horizontal="center" vertical="center" wrapText="1"/>
    </xf>
    <xf numFmtId="3" fontId="20" fillId="6" borderId="4" xfId="0" applyNumberFormat="1" applyFont="1" applyFill="1" applyBorder="1" applyAlignment="1">
      <alignment vertical="center"/>
    </xf>
    <xf numFmtId="3" fontId="17" fillId="8" borderId="6" xfId="0" applyNumberFormat="1" applyFont="1" applyFill="1" applyBorder="1" applyAlignment="1">
      <alignment horizontal="right" vertical="center" wrapText="1"/>
    </xf>
    <xf numFmtId="0" fontId="17" fillId="8" borderId="6" xfId="0" applyFont="1" applyFill="1" applyBorder="1" applyAlignment="1">
      <alignment horizontal="right" vertical="center" wrapText="1"/>
    </xf>
    <xf numFmtId="2" fontId="17" fillId="8" borderId="6" xfId="0" applyNumberFormat="1" applyFont="1" applyFill="1" applyBorder="1" applyAlignment="1">
      <alignment horizontal="right" vertical="center" wrapText="1"/>
    </xf>
    <xf numFmtId="3" fontId="17" fillId="8" borderId="6" xfId="2" applyNumberFormat="1" applyFont="1" applyFill="1" applyBorder="1" applyAlignment="1">
      <alignment horizontal="right" vertical="center"/>
    </xf>
    <xf numFmtId="3" fontId="17" fillId="8" borderId="6" xfId="2" applyNumberFormat="1" applyFont="1" applyFill="1" applyBorder="1" applyAlignment="1">
      <alignment horizontal="right" vertical="center" wrapText="1"/>
    </xf>
    <xf numFmtId="3" fontId="17" fillId="8" borderId="6" xfId="2" applyNumberFormat="1" applyFont="1" applyFill="1" applyBorder="1" applyAlignment="1">
      <alignment vertical="center" wrapText="1"/>
    </xf>
    <xf numFmtId="0" fontId="17" fillId="8" borderId="6" xfId="2" applyNumberFormat="1" applyFont="1" applyFill="1" applyBorder="1" applyAlignment="1">
      <alignment horizontal="right" vertical="center" wrapText="1"/>
    </xf>
    <xf numFmtId="1" fontId="17" fillId="8" borderId="6" xfId="2" applyNumberFormat="1" applyFont="1" applyFill="1" applyBorder="1" applyAlignment="1">
      <alignment horizontal="right" vertical="center" wrapText="1"/>
    </xf>
    <xf numFmtId="164" fontId="17" fillId="8" borderId="6" xfId="2" applyNumberFormat="1" applyFont="1" applyFill="1" applyBorder="1" applyAlignment="1">
      <alignment vertical="center" wrapText="1"/>
    </xf>
    <xf numFmtId="164" fontId="17" fillId="8" borderId="6" xfId="2" applyNumberFormat="1" applyFont="1" applyFill="1" applyBorder="1" applyAlignment="1">
      <alignment horizontal="right" vertical="center" wrapText="1"/>
    </xf>
    <xf numFmtId="0" fontId="17" fillId="8" borderId="6" xfId="2" applyNumberFormat="1" applyFont="1" applyFill="1" applyBorder="1" applyAlignment="1">
      <alignment vertical="center" wrapText="1"/>
    </xf>
    <xf numFmtId="0" fontId="17" fillId="8" borderId="6" xfId="0" applyFont="1" applyFill="1" applyBorder="1" applyAlignment="1">
      <alignment vertical="center" wrapText="1"/>
    </xf>
    <xf numFmtId="2" fontId="17" fillId="8" borderId="6" xfId="0" applyNumberFormat="1" applyFont="1" applyFill="1" applyBorder="1" applyAlignment="1">
      <alignment vertical="center" wrapText="1"/>
    </xf>
    <xf numFmtId="3" fontId="11" fillId="9" borderId="6" xfId="0" applyNumberFormat="1" applyFont="1" applyFill="1" applyBorder="1" applyAlignment="1" applyProtection="1">
      <alignment horizontal="center" vertical="center"/>
      <protection locked="0"/>
    </xf>
    <xf numFmtId="3" fontId="11" fillId="9" borderId="13" xfId="0" applyNumberFormat="1" applyFont="1" applyFill="1" applyBorder="1" applyAlignment="1" applyProtection="1">
      <alignment horizontal="center" vertical="center"/>
      <protection locked="0"/>
    </xf>
    <xf numFmtId="3" fontId="11" fillId="8" borderId="6" xfId="2" applyNumberFormat="1" applyFont="1" applyFill="1" applyBorder="1" applyAlignment="1">
      <alignment horizontal="center" vertical="center"/>
    </xf>
    <xf numFmtId="3" fontId="11" fillId="8" borderId="7" xfId="2" applyNumberFormat="1" applyFont="1" applyFill="1" applyBorder="1" applyAlignment="1">
      <alignment horizontal="center" vertical="center"/>
    </xf>
    <xf numFmtId="3" fontId="11" fillId="9" borderId="12" xfId="0" applyNumberFormat="1" applyFont="1" applyFill="1" applyBorder="1" applyAlignment="1" applyProtection="1">
      <alignment horizontal="center" vertical="center"/>
      <protection locked="0"/>
    </xf>
    <xf numFmtId="3" fontId="31" fillId="6" borderId="3" xfId="0" applyNumberFormat="1" applyFont="1" applyFill="1" applyBorder="1" applyAlignment="1">
      <alignment vertical="center"/>
    </xf>
    <xf numFmtId="3" fontId="31" fillId="6" borderId="7" xfId="0" applyNumberFormat="1" applyFont="1" applyFill="1" applyBorder="1" applyAlignment="1">
      <alignment vertical="center"/>
    </xf>
    <xf numFmtId="0" fontId="17" fillId="8" borderId="9" xfId="0" applyFont="1" applyFill="1" applyBorder="1" applyAlignment="1">
      <alignment horizontal="right" vertical="center" wrapText="1"/>
    </xf>
    <xf numFmtId="0" fontId="0" fillId="0" borderId="0" xfId="0" applyAlignment="1">
      <alignment horizontal="right"/>
    </xf>
    <xf numFmtId="0" fontId="17" fillId="10" borderId="10" xfId="0" applyFont="1" applyFill="1" applyBorder="1" applyAlignment="1" applyProtection="1">
      <alignment horizontal="right" vertical="center" wrapText="1"/>
      <protection locked="0"/>
    </xf>
    <xf numFmtId="2" fontId="17" fillId="8" borderId="9" xfId="0" applyNumberFormat="1" applyFont="1" applyFill="1" applyBorder="1" applyAlignment="1">
      <alignment horizontal="right" vertical="center" wrapText="1"/>
    </xf>
    <xf numFmtId="0" fontId="17" fillId="3" borderId="6" xfId="0" applyFont="1" applyFill="1" applyBorder="1" applyAlignment="1">
      <alignment horizontal="right" vertical="center" wrapText="1"/>
    </xf>
    <xf numFmtId="3" fontId="17" fillId="9" borderId="6" xfId="0" applyNumberFormat="1" applyFont="1" applyFill="1" applyBorder="1" applyAlignment="1" applyProtection="1">
      <alignment horizontal="right" vertical="center" wrapText="1"/>
      <protection locked="0"/>
    </xf>
    <xf numFmtId="0" fontId="17" fillId="3" borderId="9" xfId="0" applyFont="1" applyFill="1" applyBorder="1" applyAlignment="1">
      <alignment horizontal="left" vertical="center"/>
    </xf>
    <xf numFmtId="3" fontId="17" fillId="3" borderId="6" xfId="0" applyNumberFormat="1" applyFont="1" applyFill="1" applyBorder="1" applyAlignment="1">
      <alignment horizontal="right" vertical="center" wrapText="1"/>
    </xf>
    <xf numFmtId="3" fontId="17" fillId="3" borderId="19" xfId="0" applyNumberFormat="1" applyFont="1" applyFill="1" applyBorder="1" applyAlignment="1">
      <alignment horizontal="right" vertical="center" wrapText="1"/>
    </xf>
    <xf numFmtId="0" fontId="11" fillId="0" borderId="10" xfId="0" applyFont="1" applyBorder="1" applyAlignment="1">
      <alignment vertical="center"/>
    </xf>
    <xf numFmtId="0" fontId="11" fillId="0" borderId="14" xfId="0" applyFont="1" applyBorder="1" applyAlignment="1">
      <alignment horizontal="left" vertical="center" indent="1"/>
    </xf>
    <xf numFmtId="0" fontId="19" fillId="3" borderId="9"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0" fillId="2" borderId="1" xfId="0" applyFill="1" applyBorder="1" applyAlignment="1">
      <alignment horizontal="left"/>
    </xf>
    <xf numFmtId="0" fontId="17" fillId="3" borderId="9" xfId="0" applyFont="1" applyFill="1" applyBorder="1" applyAlignment="1">
      <alignment horizontal="left" vertical="center" wrapText="1"/>
    </xf>
    <xf numFmtId="0" fontId="17" fillId="9" borderId="6" xfId="0" applyFont="1" applyFill="1" applyBorder="1" applyAlignment="1">
      <alignment horizontal="center" vertical="center" wrapText="1"/>
    </xf>
    <xf numFmtId="0" fontId="11" fillId="13" borderId="3" xfId="0" applyFont="1" applyFill="1" applyBorder="1" applyAlignment="1">
      <alignment horizontal="center" vertical="center"/>
    </xf>
    <xf numFmtId="0" fontId="11" fillId="13" borderId="6" xfId="0" applyFont="1" applyFill="1" applyBorder="1" applyAlignment="1">
      <alignment horizontal="left" vertical="center" indent="1"/>
    </xf>
    <xf numFmtId="0" fontId="14" fillId="7" borderId="14" xfId="0" applyFont="1" applyFill="1" applyBorder="1" applyAlignment="1">
      <alignment horizontal="center" vertical="center"/>
    </xf>
    <xf numFmtId="0" fontId="17" fillId="16" borderId="6" xfId="0" applyFont="1" applyFill="1" applyBorder="1" applyAlignment="1">
      <alignment horizontal="center" vertical="center" wrapText="1"/>
    </xf>
    <xf numFmtId="14" fontId="11" fillId="9" borderId="3" xfId="0" applyNumberFormat="1" applyFont="1" applyFill="1" applyBorder="1" applyAlignment="1" applyProtection="1">
      <alignment horizontal="center" vertical="center"/>
      <protection locked="0"/>
    </xf>
    <xf numFmtId="3" fontId="11" fillId="12" borderId="6" xfId="2" applyNumberFormat="1" applyFont="1" applyFill="1" applyBorder="1" applyAlignment="1" applyProtection="1">
      <alignment horizontal="center" vertical="center"/>
    </xf>
    <xf numFmtId="0" fontId="38" fillId="10" borderId="3" xfId="0" applyFont="1" applyFill="1" applyBorder="1" applyAlignment="1" applyProtection="1">
      <alignment horizontal="center" vertical="center"/>
      <protection locked="0"/>
    </xf>
    <xf numFmtId="0" fontId="11" fillId="9" borderId="6" xfId="0" applyFont="1" applyFill="1" applyBorder="1" applyAlignment="1" applyProtection="1">
      <alignment horizontal="left" vertical="center" indent="1"/>
      <protection locked="0"/>
    </xf>
    <xf numFmtId="0" fontId="11" fillId="9" borderId="3" xfId="0" applyFont="1" applyFill="1" applyBorder="1" applyAlignment="1" applyProtection="1">
      <alignment horizontal="left" vertical="center" indent="1"/>
      <protection locked="0"/>
    </xf>
    <xf numFmtId="0" fontId="11" fillId="9" borderId="7" xfId="0" applyFont="1" applyFill="1" applyBorder="1" applyAlignment="1" applyProtection="1">
      <alignment horizontal="left" vertical="center" indent="1"/>
      <protection locked="0"/>
    </xf>
    <xf numFmtId="0" fontId="14" fillId="4" borderId="14" xfId="0" applyFont="1" applyFill="1" applyBorder="1" applyAlignment="1">
      <alignment horizontal="center" vertical="center"/>
    </xf>
    <xf numFmtId="0" fontId="14" fillId="4" borderId="16" xfId="0" applyFont="1" applyFill="1" applyBorder="1" applyAlignment="1">
      <alignment vertical="center"/>
    </xf>
    <xf numFmtId="0" fontId="15" fillId="4" borderId="0" xfId="0" applyFont="1" applyFill="1" applyAlignment="1">
      <alignment vertical="center"/>
    </xf>
    <xf numFmtId="0" fontId="11" fillId="16" borderId="6" xfId="0" applyFont="1" applyFill="1" applyBorder="1" applyAlignment="1" applyProtection="1">
      <alignment horizontal="center" vertical="center"/>
      <protection locked="0"/>
    </xf>
    <xf numFmtId="0" fontId="11" fillId="16" borderId="3" xfId="0" applyFont="1" applyFill="1" applyBorder="1" applyAlignment="1" applyProtection="1">
      <alignment horizontal="center" vertical="center"/>
      <protection locked="0"/>
    </xf>
    <xf numFmtId="0" fontId="0" fillId="16" borderId="1" xfId="0" applyFill="1" applyBorder="1" applyAlignment="1" applyProtection="1">
      <alignment horizontal="right"/>
      <protection locked="0"/>
    </xf>
    <xf numFmtId="0" fontId="17" fillId="16" borderId="6" xfId="0" applyFont="1" applyFill="1" applyBorder="1" applyAlignment="1" applyProtection="1">
      <alignment vertical="center" wrapText="1"/>
      <protection locked="0"/>
    </xf>
    <xf numFmtId="0" fontId="17" fillId="16" borderId="6" xfId="0" applyFont="1" applyFill="1" applyBorder="1" applyAlignment="1" applyProtection="1">
      <alignment horizontal="center" vertical="center" wrapText="1"/>
      <protection locked="0"/>
    </xf>
    <xf numFmtId="0" fontId="17" fillId="16" borderId="9" xfId="0" applyFont="1" applyFill="1" applyBorder="1" applyAlignment="1" applyProtection="1">
      <alignment horizontal="center" vertical="center" wrapText="1"/>
      <protection locked="0"/>
    </xf>
    <xf numFmtId="0" fontId="0" fillId="8" borderId="0" xfId="0" applyFill="1" applyAlignment="1">
      <alignment vertical="center"/>
    </xf>
    <xf numFmtId="0" fontId="15" fillId="8" borderId="0" xfId="0" applyFont="1" applyFill="1" applyAlignment="1">
      <alignment vertical="center"/>
    </xf>
    <xf numFmtId="165" fontId="17" fillId="16" borderId="6" xfId="1" applyNumberFormat="1" applyFont="1" applyFill="1" applyBorder="1" applyAlignment="1" applyProtection="1">
      <alignment horizontal="center" vertical="center" wrapText="1"/>
      <protection locked="0"/>
    </xf>
    <xf numFmtId="0" fontId="20" fillId="6" borderId="6" xfId="0" applyFont="1" applyFill="1" applyBorder="1" applyAlignment="1">
      <alignment vertical="center" wrapText="1"/>
    </xf>
    <xf numFmtId="43" fontId="20" fillId="6" borderId="4" xfId="1" applyFont="1" applyFill="1" applyBorder="1" applyAlignment="1">
      <alignment vertical="center" wrapText="1"/>
    </xf>
    <xf numFmtId="0" fontId="20" fillId="6" borderId="5" xfId="0" applyFont="1" applyFill="1" applyBorder="1" applyAlignment="1">
      <alignment vertical="center" wrapText="1"/>
    </xf>
    <xf numFmtId="0" fontId="45" fillId="17" borderId="6" xfId="0" applyFont="1" applyFill="1" applyBorder="1" applyAlignment="1">
      <alignment vertical="center"/>
    </xf>
    <xf numFmtId="167" fontId="17" fillId="9" borderId="6" xfId="0" applyNumberFormat="1" applyFont="1" applyFill="1" applyBorder="1" applyAlignment="1">
      <alignment horizontal="center" vertical="center" wrapText="1"/>
    </xf>
    <xf numFmtId="0" fontId="17" fillId="9" borderId="6" xfId="0" applyFont="1" applyFill="1" applyBorder="1" applyAlignment="1" applyProtection="1">
      <alignment horizontal="center" vertical="center" wrapText="1"/>
      <protection locked="0"/>
    </xf>
    <xf numFmtId="0" fontId="42" fillId="0" borderId="6" xfId="0" applyFont="1" applyBorder="1" applyProtection="1">
      <protection locked="0"/>
    </xf>
    <xf numFmtId="0" fontId="28" fillId="7" borderId="7" xfId="0" applyFont="1" applyFill="1" applyBorder="1" applyAlignment="1">
      <alignment horizontal="center" vertical="center" wrapText="1"/>
    </xf>
    <xf numFmtId="0" fontId="17" fillId="18" borderId="6" xfId="0" applyFont="1" applyFill="1" applyBorder="1" applyAlignment="1">
      <alignment horizontal="left" vertical="center" wrapText="1" indent="1"/>
    </xf>
    <xf numFmtId="3" fontId="17" fillId="18" borderId="6" xfId="0" applyNumberFormat="1" applyFont="1" applyFill="1" applyBorder="1" applyAlignment="1" applyProtection="1">
      <alignment horizontal="right" vertical="center" wrapText="1"/>
      <protection locked="0"/>
    </xf>
    <xf numFmtId="0" fontId="17" fillId="18" borderId="6" xfId="0" applyFont="1" applyFill="1" applyBorder="1" applyAlignment="1" applyProtection="1">
      <alignment horizontal="right" vertical="center" wrapText="1"/>
      <protection locked="0"/>
    </xf>
    <xf numFmtId="0" fontId="17" fillId="18" borderId="6" xfId="0" applyFont="1" applyFill="1" applyBorder="1" applyAlignment="1" applyProtection="1">
      <alignment horizontal="center" vertical="center" wrapText="1"/>
      <protection locked="0"/>
    </xf>
    <xf numFmtId="0" fontId="45" fillId="4" borderId="6" xfId="0" applyFont="1" applyFill="1" applyBorder="1" applyAlignment="1">
      <alignment vertical="center"/>
    </xf>
    <xf numFmtId="0" fontId="0" fillId="0" borderId="6" xfId="0" applyBorder="1" applyAlignment="1">
      <alignment horizontal="right"/>
    </xf>
    <xf numFmtId="43" fontId="0" fillId="0" borderId="6" xfId="1" applyFont="1" applyBorder="1" applyAlignment="1">
      <alignment horizontal="right"/>
    </xf>
    <xf numFmtId="43" fontId="5" fillId="3" borderId="5" xfId="1" applyFont="1" applyFill="1" applyBorder="1" applyAlignment="1">
      <alignment horizontal="center" vertical="center"/>
    </xf>
    <xf numFmtId="167" fontId="5" fillId="8" borderId="6" xfId="1" applyNumberFormat="1" applyFont="1" applyFill="1" applyBorder="1" applyAlignment="1">
      <alignment horizontal="center" vertical="center" wrapText="1"/>
    </xf>
    <xf numFmtId="0" fontId="46" fillId="4" borderId="4" xfId="0" applyFont="1" applyFill="1" applyBorder="1" applyAlignment="1">
      <alignment vertical="center"/>
    </xf>
    <xf numFmtId="0" fontId="46" fillId="4" borderId="5" xfId="0" applyFont="1" applyFill="1" applyBorder="1" applyAlignment="1">
      <alignment vertical="center"/>
    </xf>
    <xf numFmtId="0" fontId="0" fillId="4" borderId="6" xfId="0" applyFill="1" applyBorder="1"/>
    <xf numFmtId="43" fontId="0" fillId="0" borderId="3" xfId="1" applyFont="1" applyBorder="1"/>
    <xf numFmtId="43" fontId="0" fillId="0" borderId="4" xfId="1" applyFont="1" applyBorder="1"/>
    <xf numFmtId="0" fontId="0" fillId="0" borderId="4" xfId="0" applyBorder="1"/>
    <xf numFmtId="0" fontId="48" fillId="0" borderId="15" xfId="0" applyFont="1" applyBorder="1" applyAlignment="1">
      <alignment vertical="center"/>
    </xf>
    <xf numFmtId="167" fontId="17" fillId="0" borderId="6" xfId="0" applyNumberFormat="1" applyFont="1" applyBorder="1" applyAlignment="1">
      <alignment vertical="center" wrapText="1"/>
    </xf>
    <xf numFmtId="0" fontId="11" fillId="8" borderId="6" xfId="0" quotePrefix="1" applyFont="1" applyFill="1" applyBorder="1" applyAlignment="1">
      <alignment horizontal="left" vertical="center" wrapText="1"/>
    </xf>
    <xf numFmtId="1" fontId="0" fillId="16" borderId="3" xfId="0" applyNumberFormat="1" applyFill="1" applyBorder="1" applyAlignment="1" applyProtection="1">
      <alignment horizontal="center" vertical="center" wrapText="1"/>
      <protection locked="0"/>
    </xf>
    <xf numFmtId="0" fontId="11" fillId="10" borderId="6"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7" fillId="16" borderId="3" xfId="0" applyFont="1" applyFill="1" applyBorder="1" applyAlignment="1">
      <alignment horizontal="left" vertical="center" wrapText="1"/>
    </xf>
    <xf numFmtId="0" fontId="17" fillId="16" borderId="5" xfId="0" applyFont="1" applyFill="1" applyBorder="1" applyAlignment="1">
      <alignment horizontal="left" vertical="center" wrapText="1"/>
    </xf>
    <xf numFmtId="0" fontId="12" fillId="8" borderId="6" xfId="0" applyFont="1" applyFill="1" applyBorder="1" applyAlignment="1">
      <alignment horizontal="left" vertical="center" wrapText="1"/>
    </xf>
    <xf numFmtId="0" fontId="28" fillId="7" borderId="9"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12" fillId="8" borderId="3"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17" fillId="3" borderId="0" xfId="0" applyFont="1" applyFill="1" applyAlignment="1">
      <alignment horizontal="left" vertical="center" wrapText="1" indent="3"/>
    </xf>
    <xf numFmtId="0" fontId="27" fillId="7" borderId="6" xfId="0" applyFont="1" applyFill="1" applyBorder="1" applyAlignment="1">
      <alignment horizontal="center" vertical="center"/>
    </xf>
    <xf numFmtId="0" fontId="28" fillId="7" borderId="6" xfId="0" applyFont="1" applyFill="1" applyBorder="1" applyAlignment="1">
      <alignment horizontal="center" vertical="center" wrapText="1"/>
    </xf>
    <xf numFmtId="0" fontId="28" fillId="7" borderId="6" xfId="0" applyFont="1" applyFill="1" applyBorder="1" applyAlignment="1">
      <alignment horizontal="center" vertical="center"/>
    </xf>
    <xf numFmtId="0" fontId="3" fillId="0" borderId="0" xfId="0" applyFont="1" applyAlignment="1">
      <alignment horizontal="center"/>
    </xf>
    <xf numFmtId="0" fontId="11" fillId="8" borderId="3" xfId="2" applyNumberFormat="1" applyFont="1" applyFill="1" applyBorder="1" applyAlignment="1">
      <alignment horizontal="center" vertical="center"/>
    </xf>
    <xf numFmtId="0" fontId="11" fillId="8" borderId="4" xfId="2" applyNumberFormat="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3" fontId="11" fillId="8" borderId="3" xfId="2" applyNumberFormat="1" applyFont="1" applyFill="1" applyBorder="1" applyAlignment="1">
      <alignment horizontal="center" vertical="center"/>
    </xf>
    <xf numFmtId="3" fontId="11" fillId="8" borderId="5" xfId="2" applyNumberFormat="1" applyFont="1" applyFill="1" applyBorder="1" applyAlignment="1">
      <alignment horizontal="center" vertical="center"/>
    </xf>
    <xf numFmtId="0" fontId="31" fillId="6" borderId="4" xfId="0" applyFont="1" applyFill="1" applyBorder="1" applyAlignment="1">
      <alignment horizontal="right" vertical="center"/>
    </xf>
    <xf numFmtId="166" fontId="32" fillId="8" borderId="3" xfId="2" applyNumberFormat="1" applyFont="1" applyFill="1" applyBorder="1" applyAlignment="1">
      <alignment horizontal="center" vertical="center"/>
    </xf>
    <xf numFmtId="166" fontId="32" fillId="8" borderId="5" xfId="2" applyNumberFormat="1" applyFont="1" applyFill="1" applyBorder="1" applyAlignment="1">
      <alignment horizontal="center" vertical="center"/>
    </xf>
    <xf numFmtId="0" fontId="31" fillId="6" borderId="3" xfId="0" applyFont="1" applyFill="1" applyBorder="1" applyAlignment="1">
      <alignment horizontal="right" vertical="center"/>
    </xf>
    <xf numFmtId="1" fontId="31" fillId="6" borderId="3" xfId="0" applyNumberFormat="1" applyFont="1" applyFill="1" applyBorder="1" applyAlignment="1">
      <alignment horizontal="center" vertical="center"/>
    </xf>
    <xf numFmtId="1" fontId="31" fillId="6" borderId="4"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8" borderId="7" xfId="0" applyFont="1" applyFill="1" applyBorder="1" applyAlignment="1">
      <alignment horizontal="left" vertical="center"/>
    </xf>
    <xf numFmtId="0" fontId="11" fillId="8" borderId="12" xfId="0" applyFont="1" applyFill="1" applyBorder="1" applyAlignment="1">
      <alignment horizontal="left" vertical="center"/>
    </xf>
    <xf numFmtId="0" fontId="30" fillId="7" borderId="14"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27" fillId="7" borderId="3"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5" xfId="0" applyFont="1" applyFill="1" applyBorder="1" applyAlignment="1">
      <alignment horizontal="center" vertical="center"/>
    </xf>
    <xf numFmtId="0" fontId="28" fillId="7" borderId="3"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0" xfId="0" applyFont="1" applyFill="1" applyAlignment="1">
      <alignment horizontal="center" vertical="center" wrapText="1"/>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47" fillId="7" borderId="8" xfId="0" applyFont="1" applyFill="1" applyBorder="1" applyAlignment="1">
      <alignment horizontal="center" vertical="center"/>
    </xf>
    <xf numFmtId="0" fontId="47" fillId="7" borderId="0" xfId="0" applyFont="1" applyFill="1" applyAlignment="1">
      <alignment horizontal="center" vertical="center"/>
    </xf>
    <xf numFmtId="0" fontId="44" fillId="3" borderId="7" xfId="0" applyFont="1" applyFill="1" applyBorder="1" applyAlignment="1">
      <alignment horizontal="left" vertical="center"/>
    </xf>
    <xf numFmtId="0" fontId="44" fillId="3" borderId="12" xfId="0" applyFont="1" applyFill="1" applyBorder="1" applyAlignment="1">
      <alignment horizontal="left" vertical="center"/>
    </xf>
    <xf numFmtId="0" fontId="43" fillId="3" borderId="8" xfId="0" applyFont="1" applyFill="1" applyBorder="1" applyAlignment="1">
      <alignment horizontal="left" vertical="center"/>
    </xf>
    <xf numFmtId="0" fontId="43" fillId="3" borderId="0" xfId="0" applyFont="1" applyFill="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6" fillId="9" borderId="3" xfId="0" applyFont="1" applyFill="1" applyBorder="1" applyAlignment="1" applyProtection="1">
      <alignment horizontal="left" vertical="center" wrapText="1"/>
      <protection locked="0"/>
    </xf>
    <xf numFmtId="0" fontId="16" fillId="9" borderId="4" xfId="0" applyFont="1" applyFill="1" applyBorder="1" applyAlignment="1" applyProtection="1">
      <alignment horizontal="left" vertical="center" wrapText="1"/>
      <protection locked="0"/>
    </xf>
    <xf numFmtId="0" fontId="16" fillId="9" borderId="5" xfId="0" applyFont="1" applyFill="1" applyBorder="1" applyAlignment="1" applyProtection="1">
      <alignment horizontal="left" vertical="center" wrapText="1"/>
      <protection locked="0"/>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9" fillId="0" borderId="4" xfId="0" applyFont="1" applyBorder="1" applyAlignment="1">
      <alignment horizontal="center" vertical="center" wrapText="1"/>
    </xf>
    <xf numFmtId="167" fontId="20" fillId="8" borderId="3" xfId="0" applyNumberFormat="1" applyFont="1" applyFill="1" applyBorder="1" applyAlignment="1">
      <alignment horizontal="center" vertical="center"/>
    </xf>
    <xf numFmtId="167" fontId="20" fillId="8" borderId="5" xfId="0" applyNumberFormat="1" applyFont="1" applyFill="1" applyBorder="1" applyAlignment="1">
      <alignment horizontal="center" vertical="center"/>
    </xf>
    <xf numFmtId="0" fontId="14" fillId="7" borderId="3"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5" fillId="0" borderId="6" xfId="0" applyFont="1" applyBorder="1" applyAlignment="1">
      <alignment horizontal="center" vertical="center" wrapText="1"/>
    </xf>
    <xf numFmtId="0" fontId="25" fillId="8" borderId="6" xfId="0" applyFont="1" applyFill="1" applyBorder="1" applyAlignment="1">
      <alignment horizontal="left"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15" fillId="17" borderId="0" xfId="0" applyFont="1" applyFill="1" applyAlignment="1">
      <alignment horizontal="center" vertical="center"/>
    </xf>
    <xf numFmtId="0" fontId="33" fillId="7" borderId="3" xfId="0" applyFont="1" applyFill="1" applyBorder="1" applyAlignment="1">
      <alignment horizontal="center" vertical="center"/>
    </xf>
    <xf numFmtId="0" fontId="33" fillId="7" borderId="4" xfId="0" applyFont="1" applyFill="1" applyBorder="1" applyAlignment="1">
      <alignment horizontal="center" vertical="center"/>
    </xf>
    <xf numFmtId="0" fontId="33" fillId="7" borderId="5"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16" xfId="0" applyFont="1" applyFill="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33" fillId="7" borderId="3"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5" xfId="0" applyFont="1" applyFill="1" applyBorder="1" applyAlignment="1">
      <alignment horizontal="center" vertical="center" wrapText="1"/>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164" fontId="19" fillId="8" borderId="3" xfId="0" applyNumberFormat="1" applyFont="1" applyFill="1" applyBorder="1" applyAlignment="1">
      <alignment horizontal="center" vertical="center" wrapText="1"/>
    </xf>
    <xf numFmtId="164" fontId="19" fillId="8" borderId="5" xfId="0" applyNumberFormat="1" applyFont="1" applyFill="1" applyBorder="1" applyAlignment="1">
      <alignment horizontal="center" vertical="center" wrapText="1"/>
    </xf>
    <xf numFmtId="164" fontId="19" fillId="13" borderId="3" xfId="0" applyNumberFormat="1" applyFont="1" applyFill="1" applyBorder="1" applyAlignment="1">
      <alignment horizontal="center" vertical="center" wrapText="1"/>
    </xf>
    <xf numFmtId="164" fontId="19" fillId="13" borderId="5" xfId="0" applyNumberFormat="1" applyFont="1" applyFill="1" applyBorder="1" applyAlignment="1">
      <alignment horizontal="center" vertical="center" wrapText="1"/>
    </xf>
    <xf numFmtId="164" fontId="19" fillId="14" borderId="3" xfId="0" applyNumberFormat="1" applyFont="1" applyFill="1" applyBorder="1" applyAlignment="1">
      <alignment horizontal="center" vertical="center" wrapText="1"/>
    </xf>
    <xf numFmtId="164" fontId="19" fillId="14" borderId="5" xfId="0" applyNumberFormat="1" applyFont="1" applyFill="1" applyBorder="1" applyAlignment="1">
      <alignment horizontal="center" vertical="center" wrapText="1"/>
    </xf>
    <xf numFmtId="164" fontId="19" fillId="15" borderId="3" xfId="0" applyNumberFormat="1" applyFont="1" applyFill="1" applyBorder="1" applyAlignment="1">
      <alignment horizontal="center" vertical="center" wrapText="1"/>
    </xf>
    <xf numFmtId="164" fontId="19" fillId="15" borderId="5" xfId="0" applyNumberFormat="1"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23" fillId="11" borderId="1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8" xfId="0" applyFont="1" applyFill="1" applyBorder="1" applyAlignment="1">
      <alignment horizontal="center" vertical="center" wrapText="1"/>
    </xf>
    <xf numFmtId="164" fontId="19" fillId="8" borderId="14" xfId="0" applyNumberFormat="1" applyFont="1" applyFill="1" applyBorder="1" applyAlignment="1">
      <alignment horizontal="center" vertical="center" wrapText="1"/>
    </xf>
    <xf numFmtId="164" fontId="19" fillId="8" borderId="15" xfId="0" applyNumberFormat="1" applyFont="1" applyFill="1" applyBorder="1" applyAlignment="1">
      <alignment horizontal="center" vertical="center" wrapText="1"/>
    </xf>
    <xf numFmtId="0" fontId="14" fillId="7" borderId="22" xfId="0" applyFont="1" applyFill="1" applyBorder="1" applyAlignment="1">
      <alignment horizontal="center" vertical="center"/>
    </xf>
    <xf numFmtId="0" fontId="14" fillId="7" borderId="23" xfId="0" applyFont="1" applyFill="1" applyBorder="1" applyAlignment="1">
      <alignment horizontal="center" vertical="center"/>
    </xf>
    <xf numFmtId="0" fontId="14" fillId="7" borderId="24"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6" xfId="0" applyFont="1" applyFill="1" applyBorder="1" applyAlignment="1">
      <alignment horizontal="center" vertical="center" wrapText="1"/>
    </xf>
    <xf numFmtId="0" fontId="46" fillId="19" borderId="3" xfId="0" applyFont="1" applyFill="1" applyBorder="1" applyAlignment="1">
      <alignment horizontal="center" vertical="center"/>
    </xf>
    <xf numFmtId="0" fontId="46" fillId="19" borderId="4" xfId="0" applyFont="1" applyFill="1" applyBorder="1" applyAlignment="1">
      <alignment horizontal="center" vertical="center"/>
    </xf>
    <xf numFmtId="0" fontId="17" fillId="3" borderId="6" xfId="0" applyFont="1" applyFill="1" applyBorder="1" applyAlignment="1">
      <alignment horizontal="center" vertical="center" wrapText="1"/>
    </xf>
    <xf numFmtId="9" fontId="17" fillId="3" borderId="3" xfId="0" applyNumberFormat="1" applyFont="1" applyFill="1" applyBorder="1" applyAlignment="1">
      <alignment horizontal="center" vertical="center" wrapText="1"/>
    </xf>
    <xf numFmtId="0" fontId="17" fillId="3" borderId="5" xfId="0" applyFont="1" applyFill="1" applyBorder="1" applyAlignment="1">
      <alignment horizontal="center" vertical="center" wrapText="1"/>
    </xf>
    <xf numFmtId="0" fontId="23" fillId="11" borderId="9" xfId="0" applyFont="1" applyFill="1" applyBorder="1" applyAlignment="1">
      <alignment horizontal="center" vertical="center" wrapText="1"/>
    </xf>
    <xf numFmtId="0" fontId="23" fillId="11" borderId="10"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7" fillId="9" borderId="6" xfId="0" applyFont="1" applyFill="1" applyBorder="1" applyAlignment="1" applyProtection="1">
      <alignment horizontal="center" vertical="center" wrapText="1"/>
      <protection locked="0"/>
    </xf>
    <xf numFmtId="0" fontId="23" fillId="11" borderId="6"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14"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5" xfId="0" applyFont="1" applyFill="1" applyBorder="1" applyAlignment="1">
      <alignment horizontal="center" vertical="center"/>
    </xf>
    <xf numFmtId="0" fontId="23" fillId="11" borderId="7" xfId="0" applyFont="1" applyFill="1" applyBorder="1" applyAlignment="1">
      <alignment horizontal="center" vertical="center" wrapText="1"/>
    </xf>
    <xf numFmtId="0" fontId="23" fillId="11" borderId="12" xfId="0" applyFont="1" applyFill="1" applyBorder="1" applyAlignment="1">
      <alignment horizontal="center"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4" fillId="7" borderId="9"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6" fillId="6" borderId="3" xfId="0" applyFont="1" applyFill="1" applyBorder="1" applyAlignment="1">
      <alignment horizontal="left" vertical="center"/>
    </xf>
    <xf numFmtId="0" fontId="16" fillId="6" borderId="5" xfId="0" applyFont="1" applyFill="1" applyBorder="1" applyAlignment="1">
      <alignment horizontal="left" vertical="center"/>
    </xf>
    <xf numFmtId="0" fontId="14" fillId="11" borderId="7"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4" fillId="11" borderId="14" xfId="0" applyFont="1" applyFill="1" applyBorder="1" applyAlignment="1">
      <alignment horizontal="center" vertical="center" wrapText="1"/>
    </xf>
    <xf numFmtId="0" fontId="14" fillId="11" borderId="16" xfId="0" applyFont="1" applyFill="1" applyBorder="1" applyAlignment="1">
      <alignment horizontal="center" vertical="center" wrapText="1"/>
    </xf>
    <xf numFmtId="43" fontId="14" fillId="7" borderId="3" xfId="1" applyFont="1" applyFill="1" applyBorder="1" applyAlignment="1">
      <alignment horizontal="center" vertical="center" wrapText="1"/>
    </xf>
    <xf numFmtId="43" fontId="14" fillId="7" borderId="4" xfId="1" applyFont="1" applyFill="1" applyBorder="1" applyAlignment="1">
      <alignment horizontal="center" vertical="center" wrapText="1"/>
    </xf>
    <xf numFmtId="43" fontId="14" fillId="7" borderId="5" xfId="1" applyFont="1" applyFill="1" applyBorder="1" applyAlignment="1">
      <alignment horizontal="center" vertical="center" wrapText="1"/>
    </xf>
    <xf numFmtId="0" fontId="15" fillId="20" borderId="12" xfId="0" applyFont="1" applyFill="1" applyBorder="1" applyAlignment="1">
      <alignment horizontal="center" vertical="center"/>
    </xf>
    <xf numFmtId="0" fontId="20" fillId="6" borderId="3"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5" xfId="0" applyFont="1" applyFill="1" applyBorder="1" applyAlignment="1">
      <alignment horizontal="right" vertical="center"/>
    </xf>
    <xf numFmtId="0" fontId="20" fillId="6" borderId="3"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42" xfId="0" applyFont="1" applyFill="1" applyBorder="1" applyAlignment="1">
      <alignment horizontal="center" vertical="center"/>
    </xf>
    <xf numFmtId="0" fontId="14" fillId="7" borderId="5"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cellXfs>
  <cellStyles count="3">
    <cellStyle name="Comma" xfId="1" builtinId="3"/>
    <cellStyle name="Normal" xfId="0" builtinId="0"/>
    <cellStyle name="Percent" xfId="2" builtinId="5"/>
  </cellStyles>
  <dxfs count="92">
    <dxf>
      <fill>
        <patternFill>
          <bgColor rgb="FFC0C0C0"/>
        </patternFill>
      </fill>
    </dxf>
    <dxf>
      <font>
        <color auto="1"/>
      </font>
      <fill>
        <patternFill>
          <bgColor rgb="FFEAEAEA"/>
        </patternFill>
      </fill>
    </dxf>
    <dxf>
      <fill>
        <patternFill>
          <bgColor rgb="FF969696"/>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ont>
        <color auto="1"/>
      </font>
      <fill>
        <patternFill>
          <bgColor rgb="FFEAEAEA"/>
        </patternFill>
      </fill>
    </dxf>
    <dxf>
      <fill>
        <patternFill>
          <bgColor rgb="FF969696"/>
        </patternFill>
      </fill>
    </dxf>
    <dxf>
      <fill>
        <patternFill>
          <bgColor rgb="FFC0C0C0"/>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ont>
        <color auto="1"/>
      </font>
      <fill>
        <patternFill>
          <bgColor rgb="FFEAEAEA"/>
        </patternFill>
      </fill>
    </dxf>
    <dxf>
      <fill>
        <patternFill>
          <bgColor rgb="FFC0C0C0"/>
        </patternFill>
      </fill>
    </dxf>
    <dxf>
      <fill>
        <patternFill>
          <bgColor rgb="FF969696"/>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rgb="FF969696"/>
        </patternFill>
      </fill>
    </dxf>
    <dxf>
      <fill>
        <patternFill>
          <bgColor rgb="FFC0C0C0"/>
        </patternFill>
      </fill>
    </dxf>
    <dxf>
      <font>
        <color auto="1"/>
      </font>
      <fill>
        <patternFill>
          <bgColor rgb="FFEAEAEA"/>
        </patternFill>
      </fill>
    </dxf>
    <dxf>
      <fill>
        <patternFill>
          <bgColor theme="6" tint="0.59996337778862885"/>
        </patternFill>
      </fill>
    </dxf>
    <dxf>
      <fill>
        <patternFill>
          <bgColor theme="0" tint="-0.24994659260841701"/>
        </patternFill>
      </fill>
    </dxf>
    <dxf>
      <fill>
        <patternFill>
          <fgColor rgb="FFFFC1C1"/>
          <bgColor theme="2"/>
        </patternFill>
      </fill>
    </dxf>
    <dxf>
      <fill>
        <patternFill>
          <bgColor theme="2"/>
        </patternFill>
      </fill>
    </dxf>
    <dxf>
      <fill>
        <patternFill>
          <bgColor theme="6" tint="0.59996337778862885"/>
        </patternFill>
      </fill>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64" formatCode="0.0"/>
      <fill>
        <patternFill patternType="solid">
          <fgColor indexed="64"/>
          <bgColor theme="0" tint="-4.9989318521683403E-2"/>
        </patternFill>
      </fill>
      <alignment horizontal="center" vertical="center" textRotation="0" wrapText="1"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theme="0" tint="-4.9989318521683403E-2"/>
        </patternFill>
      </fill>
      <alignment horizontal="center" vertical="center" textRotation="0" wrapText="1"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theme="0" tint="-4.9989318521683403E-2"/>
        </patternFill>
      </fill>
      <alignment horizontal="center" vertical="center" textRotation="0" wrapText="1"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64" formatCode="0.0"/>
      <fill>
        <patternFill patternType="solid">
          <fgColor indexed="64"/>
          <bgColor theme="0" tint="-4.9989318521683403E-2"/>
        </patternFill>
      </fill>
      <alignment horizontal="center" vertical="center" textRotation="0" wrapText="1"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64" formatCode="0.0"/>
      <fill>
        <patternFill patternType="solid">
          <fgColor indexed="64"/>
          <bgColor theme="0" tint="-4.9989318521683403E-2"/>
        </patternFill>
      </fill>
      <alignment horizontal="center" vertical="center" textRotation="0" wrapText="1" indent="0" justifyLastLine="0" shrinkToFit="0" readingOrder="0"/>
      <border diagonalUp="0" diagonalDown="0">
        <left/>
        <right/>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4" tint="0.39997558519241921"/>
        </left>
        <right style="medium">
          <color theme="0"/>
        </right>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64" formatCode="0.0"/>
      <fill>
        <patternFill patternType="solid">
          <fgColor indexed="64"/>
          <bgColor theme="0" tint="-4.9989318521683403E-2"/>
        </patternFill>
      </fill>
      <alignment horizontal="center" vertical="center" textRotation="0" wrapText="1" indent="0" justifyLastLine="0" shrinkToFit="0" readingOrder="0"/>
      <border diagonalUp="0" diagonalDown="0">
        <left/>
        <right style="medium">
          <color theme="0"/>
        </right>
        <top/>
        <bottom style="medium">
          <color theme="0"/>
        </bottom>
        <vertical/>
        <horizontal/>
      </border>
    </dxf>
    <dxf>
      <border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s>
  <tableStyles count="0" defaultTableStyle="TableStyleMedium2" defaultPivotStyle="PivotStyleLight16"/>
  <colors>
    <mruColors>
      <color rgb="FFFFC000"/>
      <color rgb="FFB4C6E7"/>
      <color rgb="FFFFC1C1"/>
      <color rgb="FFFFD966"/>
      <color rgb="FFFF9797"/>
      <color rgb="FF969696"/>
      <color rgb="FFEAEAEA"/>
      <color rgb="FFC0C0C0"/>
      <color rgb="FFC0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House</a:t>
            </a:r>
            <a:r>
              <a:rPr lang="en-GB" sz="1200" baseline="0"/>
              <a:t> Hold Demand</a:t>
            </a:r>
            <a:endParaRPr lang="en-GB" sz="1200"/>
          </a:p>
        </c:rich>
      </c:tx>
      <c:layout>
        <c:manualLayout>
          <c:xMode val="edge"/>
          <c:yMode val="edge"/>
          <c:x val="0.3341615516564366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50757434848202"/>
          <c:y val="0.10666372356703675"/>
          <c:w val="0.82549935933205199"/>
          <c:h val="0.68166219347743551"/>
        </c:manualLayout>
      </c:layout>
      <c:barChart>
        <c:barDir val="col"/>
        <c:grouping val="stacked"/>
        <c:varyColors val="0"/>
        <c:ser>
          <c:idx val="0"/>
          <c:order val="0"/>
          <c:tx>
            <c:strRef>
              <c:f>'2. Inputs'!$C$88</c:f>
              <c:strCache>
                <c:ptCount val="1"/>
                <c:pt idx="0">
                  <c:v>Household loads</c:v>
                </c:pt>
              </c:strCache>
            </c:strRef>
          </c:tx>
          <c:spPr>
            <a:solidFill>
              <a:schemeClr val="accent1"/>
            </a:solidFill>
            <a:ln>
              <a:noFill/>
            </a:ln>
            <a:effectLst/>
          </c:spPr>
          <c:invertIfNegative val="0"/>
          <c:val>
            <c:numRef>
              <c:f>'2. Inputs'!$D$88:$AA$88</c:f>
              <c:numCache>
                <c:formatCode>#,##0</c:formatCode>
                <c:ptCount val="24"/>
                <c:pt idx="0">
                  <c:v>0</c:v>
                </c:pt>
                <c:pt idx="1">
                  <c:v>0</c:v>
                </c:pt>
                <c:pt idx="2">
                  <c:v>0</c:v>
                </c:pt>
                <c:pt idx="3">
                  <c:v>30000</c:v>
                </c:pt>
                <c:pt idx="4">
                  <c:v>30000</c:v>
                </c:pt>
                <c:pt idx="5">
                  <c:v>30000</c:v>
                </c:pt>
                <c:pt idx="6">
                  <c:v>30000</c:v>
                </c:pt>
                <c:pt idx="7">
                  <c:v>0</c:v>
                </c:pt>
                <c:pt idx="8">
                  <c:v>0</c:v>
                </c:pt>
                <c:pt idx="9">
                  <c:v>0</c:v>
                </c:pt>
                <c:pt idx="10">
                  <c:v>0</c:v>
                </c:pt>
                <c:pt idx="11">
                  <c:v>0</c:v>
                </c:pt>
                <c:pt idx="12">
                  <c:v>0</c:v>
                </c:pt>
                <c:pt idx="13">
                  <c:v>0</c:v>
                </c:pt>
                <c:pt idx="14">
                  <c:v>0</c:v>
                </c:pt>
                <c:pt idx="15">
                  <c:v>0</c:v>
                </c:pt>
                <c:pt idx="16">
                  <c:v>0</c:v>
                </c:pt>
                <c:pt idx="17">
                  <c:v>30000</c:v>
                </c:pt>
                <c:pt idx="18">
                  <c:v>30000</c:v>
                </c:pt>
                <c:pt idx="19">
                  <c:v>30000</c:v>
                </c:pt>
                <c:pt idx="20">
                  <c:v>30000</c:v>
                </c:pt>
                <c:pt idx="21">
                  <c:v>30000</c:v>
                </c:pt>
                <c:pt idx="22">
                  <c:v>30000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452D-4B2B-BCA7-3DF78125F5BA}"/>
            </c:ext>
          </c:extLst>
        </c:ser>
        <c:dLbls>
          <c:showLegendKey val="0"/>
          <c:showVal val="0"/>
          <c:showCatName val="0"/>
          <c:showSerName val="0"/>
          <c:showPercent val="0"/>
          <c:showBubbleSize val="0"/>
        </c:dLbls>
        <c:gapWidth val="219"/>
        <c:overlap val="100"/>
        <c:axId val="1825779663"/>
        <c:axId val="1838143775"/>
      </c:barChart>
      <c:catAx>
        <c:axId val="1825779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Hours</a:t>
                </a:r>
              </a:p>
            </c:rich>
          </c:tx>
          <c:layout>
            <c:manualLayout>
              <c:xMode val="edge"/>
              <c:yMode val="edge"/>
              <c:x val="8.9759355192152793E-3"/>
              <c:y val="0.8456663306319632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43775"/>
        <c:crosses val="autoZero"/>
        <c:auto val="1"/>
        <c:lblAlgn val="ctr"/>
        <c:lblOffset val="100"/>
        <c:noMultiLvlLbl val="0"/>
      </c:catAx>
      <c:valAx>
        <c:axId val="1838143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779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Productive Energy</a:t>
            </a:r>
            <a:r>
              <a:rPr lang="en-GB" sz="1200" baseline="0"/>
              <a:t> Use Load Demand</a:t>
            </a:r>
            <a:endParaRPr lang="en-GB" sz="1200"/>
          </a:p>
        </c:rich>
      </c:tx>
      <c:layout>
        <c:manualLayout>
          <c:xMode val="edge"/>
          <c:yMode val="edge"/>
          <c:x val="0.19952965785719429"/>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38461134641647"/>
          <c:y val="0.12643485971003746"/>
          <c:w val="0.65882880631770679"/>
          <c:h val="0.67763931061762739"/>
        </c:manualLayout>
      </c:layout>
      <c:barChart>
        <c:barDir val="col"/>
        <c:grouping val="stacked"/>
        <c:varyColors val="0"/>
        <c:ser>
          <c:idx val="0"/>
          <c:order val="0"/>
          <c:tx>
            <c:strRef>
              <c:f>'2. Inputs'!$C$89</c:f>
              <c:strCache>
                <c:ptCount val="1"/>
                <c:pt idx="0">
                  <c:v>Agro Processing Mills</c:v>
                </c:pt>
              </c:strCache>
            </c:strRef>
          </c:tx>
          <c:spPr>
            <a:solidFill>
              <a:schemeClr val="accent1"/>
            </a:solidFill>
            <a:ln>
              <a:noFill/>
            </a:ln>
            <a:effectLst/>
          </c:spPr>
          <c:invertIfNegative val="0"/>
          <c:val>
            <c:numRef>
              <c:f>'2. Inputs'!$D$89:$AA$89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9A3B-4B99-B002-DC14E8129FD2}"/>
            </c:ext>
          </c:extLst>
        </c:ser>
        <c:ser>
          <c:idx val="1"/>
          <c:order val="1"/>
          <c:tx>
            <c:strRef>
              <c:f>'2. Inputs'!$C$90</c:f>
              <c:strCache>
                <c:ptCount val="1"/>
                <c:pt idx="0">
                  <c:v>Saw Mills</c:v>
                </c:pt>
              </c:strCache>
            </c:strRef>
          </c:tx>
          <c:spPr>
            <a:solidFill>
              <a:schemeClr val="accent2"/>
            </a:solidFill>
            <a:ln>
              <a:noFill/>
            </a:ln>
            <a:effectLst/>
          </c:spPr>
          <c:invertIfNegative val="0"/>
          <c:val>
            <c:numRef>
              <c:f>'2. Inputs'!$D$90:$AA$90</c:f>
              <c:numCache>
                <c:formatCode>#,##0</c:formatCode>
                <c:ptCount val="24"/>
                <c:pt idx="0">
                  <c:v>0</c:v>
                </c:pt>
                <c:pt idx="1">
                  <c:v>0</c:v>
                </c:pt>
                <c:pt idx="2">
                  <c:v>0</c:v>
                </c:pt>
                <c:pt idx="3">
                  <c:v>0</c:v>
                </c:pt>
                <c:pt idx="4">
                  <c:v>0</c:v>
                </c:pt>
                <c:pt idx="5">
                  <c:v>0</c:v>
                </c:pt>
                <c:pt idx="6">
                  <c:v>0</c:v>
                </c:pt>
                <c:pt idx="7">
                  <c:v>0</c:v>
                </c:pt>
                <c:pt idx="8">
                  <c:v>0</c:v>
                </c:pt>
                <c:pt idx="9">
                  <c:v>0</c:v>
                </c:pt>
                <c:pt idx="10">
                  <c:v>6000</c:v>
                </c:pt>
                <c:pt idx="11">
                  <c:v>6000</c:v>
                </c:pt>
                <c:pt idx="12">
                  <c:v>6000</c:v>
                </c:pt>
                <c:pt idx="13">
                  <c:v>6000</c:v>
                </c:pt>
                <c:pt idx="14">
                  <c:v>6000</c:v>
                </c:pt>
                <c:pt idx="15">
                  <c:v>6000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1-9A3B-4B99-B002-DC14E8129FD2}"/>
            </c:ext>
          </c:extLst>
        </c:ser>
        <c:ser>
          <c:idx val="2"/>
          <c:order val="2"/>
          <c:tx>
            <c:strRef>
              <c:f>'2. Inputs'!$C$94</c:f>
              <c:strCache>
                <c:ptCount val="1"/>
                <c:pt idx="0">
                  <c:v>Mobile Shops</c:v>
                </c:pt>
              </c:strCache>
            </c:strRef>
          </c:tx>
          <c:spPr>
            <a:solidFill>
              <a:schemeClr val="accent3"/>
            </a:solidFill>
            <a:ln>
              <a:noFill/>
            </a:ln>
            <a:effectLst/>
          </c:spPr>
          <c:invertIfNegative val="0"/>
          <c:val>
            <c:numRef>
              <c:f>'2. Inputs'!$D$94:$AA$94</c:f>
              <c:numCache>
                <c:formatCode>#,##0</c:formatCode>
                <c:ptCount val="24"/>
                <c:pt idx="0">
                  <c:v>0</c:v>
                </c:pt>
                <c:pt idx="1">
                  <c:v>0</c:v>
                </c:pt>
                <c:pt idx="2">
                  <c:v>0</c:v>
                </c:pt>
                <c:pt idx="3">
                  <c:v>0</c:v>
                </c:pt>
                <c:pt idx="4">
                  <c:v>0</c:v>
                </c:pt>
                <c:pt idx="5">
                  <c:v>0</c:v>
                </c:pt>
                <c:pt idx="6">
                  <c:v>0</c:v>
                </c:pt>
                <c:pt idx="7">
                  <c:v>0</c:v>
                </c:pt>
                <c:pt idx="8">
                  <c:v>0</c:v>
                </c:pt>
                <c:pt idx="9">
                  <c:v>0</c:v>
                </c:pt>
                <c:pt idx="10">
                  <c:v>1000</c:v>
                </c:pt>
                <c:pt idx="11">
                  <c:v>1000</c:v>
                </c:pt>
                <c:pt idx="12">
                  <c:v>1000</c:v>
                </c:pt>
                <c:pt idx="13">
                  <c:v>1000</c:v>
                </c:pt>
                <c:pt idx="14">
                  <c:v>1000</c:v>
                </c:pt>
                <c:pt idx="15">
                  <c:v>1000</c:v>
                </c:pt>
                <c:pt idx="16">
                  <c:v>1000</c:v>
                </c:pt>
                <c:pt idx="17">
                  <c:v>1000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2-9A3B-4B99-B002-DC14E8129FD2}"/>
            </c:ext>
          </c:extLst>
        </c:ser>
        <c:ser>
          <c:idx val="3"/>
          <c:order val="3"/>
          <c:tx>
            <c:strRef>
              <c:f>'2. Inputs'!$C$95</c:f>
              <c:strCache>
                <c:ptCount val="1"/>
                <c:pt idx="0">
                  <c:v>Bakery Udhyog</c:v>
                </c:pt>
              </c:strCache>
            </c:strRef>
          </c:tx>
          <c:spPr>
            <a:solidFill>
              <a:schemeClr val="accent4"/>
            </a:solidFill>
            <a:ln>
              <a:noFill/>
            </a:ln>
            <a:effectLst/>
          </c:spPr>
          <c:invertIfNegative val="0"/>
          <c:val>
            <c:numRef>
              <c:f>'2. Inputs'!$D$95:$AA$95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3-9A3B-4B99-B002-DC14E8129FD2}"/>
            </c:ext>
          </c:extLst>
        </c:ser>
        <c:ser>
          <c:idx val="4"/>
          <c:order val="4"/>
          <c:tx>
            <c:strRef>
              <c:f>'2. Inputs'!$C$96</c:f>
              <c:strCache>
                <c:ptCount val="1"/>
                <c:pt idx="0">
                  <c:v>Grill Udhyog</c:v>
                </c:pt>
              </c:strCache>
            </c:strRef>
          </c:tx>
          <c:spPr>
            <a:solidFill>
              <a:schemeClr val="accent5"/>
            </a:solidFill>
            <a:ln>
              <a:noFill/>
            </a:ln>
            <a:effectLst/>
          </c:spPr>
          <c:invertIfNegative val="0"/>
          <c:val>
            <c:numRef>
              <c:f>'2. Inputs'!$D$96:$AA$96</c:f>
              <c:numCache>
                <c:formatCode>#,##0</c:formatCode>
                <c:ptCount val="24"/>
                <c:pt idx="0">
                  <c:v>0</c:v>
                </c:pt>
                <c:pt idx="1">
                  <c:v>0</c:v>
                </c:pt>
                <c:pt idx="2">
                  <c:v>0</c:v>
                </c:pt>
                <c:pt idx="3">
                  <c:v>0</c:v>
                </c:pt>
                <c:pt idx="4">
                  <c:v>0</c:v>
                </c:pt>
                <c:pt idx="5">
                  <c:v>0</c:v>
                </c:pt>
                <c:pt idx="6">
                  <c:v>0</c:v>
                </c:pt>
                <c:pt idx="7">
                  <c:v>0</c:v>
                </c:pt>
                <c:pt idx="8">
                  <c:v>0</c:v>
                </c:pt>
                <c:pt idx="9">
                  <c:v>0</c:v>
                </c:pt>
                <c:pt idx="10">
                  <c:v>1500</c:v>
                </c:pt>
                <c:pt idx="11">
                  <c:v>1500</c:v>
                </c:pt>
                <c:pt idx="12">
                  <c:v>1500</c:v>
                </c:pt>
                <c:pt idx="13">
                  <c:v>1500</c:v>
                </c:pt>
                <c:pt idx="14">
                  <c:v>1500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4-9A3B-4B99-B002-DC14E8129FD2}"/>
            </c:ext>
          </c:extLst>
        </c:ser>
        <c:ser>
          <c:idx val="5"/>
          <c:order val="5"/>
          <c:tx>
            <c:strRef>
              <c:f>'2. Inputs'!$C$97</c:f>
              <c:strCache>
                <c:ptCount val="1"/>
                <c:pt idx="0">
                  <c:v>Poultary Farm</c:v>
                </c:pt>
              </c:strCache>
            </c:strRef>
          </c:tx>
          <c:spPr>
            <a:solidFill>
              <a:schemeClr val="accent6"/>
            </a:solidFill>
            <a:ln>
              <a:noFill/>
            </a:ln>
            <a:effectLst/>
          </c:spPr>
          <c:invertIfNegative val="0"/>
          <c:val>
            <c:numRef>
              <c:f>'2. Inputs'!$D$97:$AA$97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5-9A3B-4B99-B002-DC14E8129FD2}"/>
            </c:ext>
          </c:extLst>
        </c:ser>
        <c:dLbls>
          <c:showLegendKey val="0"/>
          <c:showVal val="0"/>
          <c:showCatName val="0"/>
          <c:showSerName val="0"/>
          <c:showPercent val="0"/>
          <c:showBubbleSize val="0"/>
        </c:dLbls>
        <c:gapWidth val="219"/>
        <c:overlap val="100"/>
        <c:axId val="1825779663"/>
        <c:axId val="1838143775"/>
      </c:barChart>
      <c:catAx>
        <c:axId val="1825779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Hours</a:t>
                </a:r>
              </a:p>
            </c:rich>
          </c:tx>
          <c:layout>
            <c:manualLayout>
              <c:xMode val="edge"/>
              <c:yMode val="edge"/>
              <c:x val="1.5751921793746976E-2"/>
              <c:y val="0.8592112881681760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43775"/>
        <c:crosses val="autoZero"/>
        <c:auto val="1"/>
        <c:lblAlgn val="ctr"/>
        <c:lblOffset val="100"/>
        <c:noMultiLvlLbl val="0"/>
      </c:catAx>
      <c:valAx>
        <c:axId val="1838143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779663"/>
        <c:crosses val="autoZero"/>
        <c:crossBetween val="between"/>
      </c:valAx>
      <c:spPr>
        <a:noFill/>
        <a:ln>
          <a:noFill/>
        </a:ln>
        <a:effectLst/>
      </c:spPr>
    </c:plotArea>
    <c:legend>
      <c:legendPos val="r"/>
      <c:layout>
        <c:manualLayout>
          <c:xMode val="edge"/>
          <c:yMode val="edge"/>
          <c:x val="0.78827763453677291"/>
          <c:y val="0.2114599546143581"/>
          <c:w val="0.21140105301020537"/>
          <c:h val="0.65301273476504951"/>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Publice Energy</a:t>
            </a:r>
            <a:r>
              <a:rPr lang="en-GB" sz="1200" baseline="0"/>
              <a:t> Use Load Demand</a:t>
            </a:r>
            <a:endParaRPr lang="en-GB" sz="1200"/>
          </a:p>
        </c:rich>
      </c:tx>
      <c:layout>
        <c:manualLayout>
          <c:xMode val="edge"/>
          <c:yMode val="edge"/>
          <c:x val="0.24008278937944894"/>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95427128006264"/>
          <c:y val="0.11343399478631129"/>
          <c:w val="0.70359928896172752"/>
          <c:h val="0.69650354821791205"/>
        </c:manualLayout>
      </c:layout>
      <c:barChart>
        <c:barDir val="col"/>
        <c:grouping val="stacked"/>
        <c:varyColors val="0"/>
        <c:ser>
          <c:idx val="0"/>
          <c:order val="0"/>
          <c:tx>
            <c:strRef>
              <c:f>'2. Inputs'!$C$88</c:f>
              <c:strCache>
                <c:ptCount val="1"/>
                <c:pt idx="0">
                  <c:v>Household loads</c:v>
                </c:pt>
              </c:strCache>
            </c:strRef>
          </c:tx>
          <c:spPr>
            <a:solidFill>
              <a:schemeClr val="accent1"/>
            </a:solidFill>
            <a:ln>
              <a:noFill/>
            </a:ln>
            <a:effectLst/>
          </c:spPr>
          <c:invertIfNegative val="0"/>
          <c:val>
            <c:numRef>
              <c:f>'2. Inputs'!$D$88:$AA$88</c:f>
              <c:numCache>
                <c:formatCode>#,##0</c:formatCode>
                <c:ptCount val="24"/>
                <c:pt idx="0">
                  <c:v>0</c:v>
                </c:pt>
                <c:pt idx="1">
                  <c:v>0</c:v>
                </c:pt>
                <c:pt idx="2">
                  <c:v>0</c:v>
                </c:pt>
                <c:pt idx="3">
                  <c:v>30000</c:v>
                </c:pt>
                <c:pt idx="4">
                  <c:v>30000</c:v>
                </c:pt>
                <c:pt idx="5">
                  <c:v>30000</c:v>
                </c:pt>
                <c:pt idx="6">
                  <c:v>30000</c:v>
                </c:pt>
                <c:pt idx="7">
                  <c:v>0</c:v>
                </c:pt>
                <c:pt idx="8">
                  <c:v>0</c:v>
                </c:pt>
                <c:pt idx="9">
                  <c:v>0</c:v>
                </c:pt>
                <c:pt idx="10">
                  <c:v>0</c:v>
                </c:pt>
                <c:pt idx="11">
                  <c:v>0</c:v>
                </c:pt>
                <c:pt idx="12">
                  <c:v>0</c:v>
                </c:pt>
                <c:pt idx="13">
                  <c:v>0</c:v>
                </c:pt>
                <c:pt idx="14">
                  <c:v>0</c:v>
                </c:pt>
                <c:pt idx="15">
                  <c:v>0</c:v>
                </c:pt>
                <c:pt idx="16">
                  <c:v>0</c:v>
                </c:pt>
                <c:pt idx="17">
                  <c:v>30000</c:v>
                </c:pt>
                <c:pt idx="18">
                  <c:v>30000</c:v>
                </c:pt>
                <c:pt idx="19">
                  <c:v>30000</c:v>
                </c:pt>
                <c:pt idx="20">
                  <c:v>30000</c:v>
                </c:pt>
                <c:pt idx="21">
                  <c:v>30000</c:v>
                </c:pt>
                <c:pt idx="22">
                  <c:v>30000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272F-44EA-9200-11B3C000308A}"/>
            </c:ext>
          </c:extLst>
        </c:ser>
        <c:ser>
          <c:idx val="1"/>
          <c:order val="1"/>
          <c:tx>
            <c:strRef>
              <c:f>'2. Inputs'!$C$89</c:f>
              <c:strCache>
                <c:ptCount val="1"/>
                <c:pt idx="0">
                  <c:v>Agro Processing Mills</c:v>
                </c:pt>
              </c:strCache>
            </c:strRef>
          </c:tx>
          <c:spPr>
            <a:solidFill>
              <a:schemeClr val="accent2"/>
            </a:solidFill>
            <a:ln>
              <a:noFill/>
            </a:ln>
            <a:effectLst/>
          </c:spPr>
          <c:invertIfNegative val="0"/>
          <c:val>
            <c:numRef>
              <c:f>'2. Inputs'!$D$89:$AA$89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1-272F-44EA-9200-11B3C000308A}"/>
            </c:ext>
          </c:extLst>
        </c:ser>
        <c:ser>
          <c:idx val="2"/>
          <c:order val="2"/>
          <c:tx>
            <c:strRef>
              <c:f>'2. Inputs'!$C$90</c:f>
              <c:strCache>
                <c:ptCount val="1"/>
                <c:pt idx="0">
                  <c:v>Saw Mills</c:v>
                </c:pt>
              </c:strCache>
            </c:strRef>
          </c:tx>
          <c:spPr>
            <a:solidFill>
              <a:schemeClr val="accent3"/>
            </a:solidFill>
            <a:ln>
              <a:noFill/>
            </a:ln>
            <a:effectLst/>
          </c:spPr>
          <c:invertIfNegative val="0"/>
          <c:val>
            <c:numRef>
              <c:f>'2. Inputs'!$D$90:$AA$90</c:f>
              <c:numCache>
                <c:formatCode>#,##0</c:formatCode>
                <c:ptCount val="24"/>
                <c:pt idx="0">
                  <c:v>0</c:v>
                </c:pt>
                <c:pt idx="1">
                  <c:v>0</c:v>
                </c:pt>
                <c:pt idx="2">
                  <c:v>0</c:v>
                </c:pt>
                <c:pt idx="3">
                  <c:v>0</c:v>
                </c:pt>
                <c:pt idx="4">
                  <c:v>0</c:v>
                </c:pt>
                <c:pt idx="5">
                  <c:v>0</c:v>
                </c:pt>
                <c:pt idx="6">
                  <c:v>0</c:v>
                </c:pt>
                <c:pt idx="7">
                  <c:v>0</c:v>
                </c:pt>
                <c:pt idx="8">
                  <c:v>0</c:v>
                </c:pt>
                <c:pt idx="9">
                  <c:v>0</c:v>
                </c:pt>
                <c:pt idx="10">
                  <c:v>6000</c:v>
                </c:pt>
                <c:pt idx="11">
                  <c:v>6000</c:v>
                </c:pt>
                <c:pt idx="12">
                  <c:v>6000</c:v>
                </c:pt>
                <c:pt idx="13">
                  <c:v>6000</c:v>
                </c:pt>
                <c:pt idx="14">
                  <c:v>6000</c:v>
                </c:pt>
                <c:pt idx="15">
                  <c:v>6000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2-272F-44EA-9200-11B3C000308A}"/>
            </c:ext>
          </c:extLst>
        </c:ser>
        <c:ser>
          <c:idx val="3"/>
          <c:order val="3"/>
          <c:tx>
            <c:strRef>
              <c:f>'2. Inputs'!$C$91</c:f>
              <c:strCache>
                <c:ptCount val="1"/>
                <c:pt idx="0">
                  <c:v>Healthpost</c:v>
                </c:pt>
              </c:strCache>
            </c:strRef>
          </c:tx>
          <c:spPr>
            <a:solidFill>
              <a:schemeClr val="accent4"/>
            </a:solidFill>
            <a:ln>
              <a:noFill/>
            </a:ln>
            <a:effectLst/>
          </c:spPr>
          <c:invertIfNegative val="0"/>
          <c:val>
            <c:numRef>
              <c:f>'2. Inputs'!$D$91:$AA$91</c:f>
              <c:numCache>
                <c:formatCode>#,##0</c:formatCode>
                <c:ptCount val="24"/>
                <c:pt idx="0">
                  <c:v>0</c:v>
                </c:pt>
                <c:pt idx="1">
                  <c:v>0</c:v>
                </c:pt>
                <c:pt idx="2">
                  <c:v>0</c:v>
                </c:pt>
                <c:pt idx="3">
                  <c:v>0</c:v>
                </c:pt>
                <c:pt idx="4">
                  <c:v>0</c:v>
                </c:pt>
                <c:pt idx="5">
                  <c:v>0</c:v>
                </c:pt>
                <c:pt idx="6">
                  <c:v>0</c:v>
                </c:pt>
                <c:pt idx="7">
                  <c:v>0</c:v>
                </c:pt>
                <c:pt idx="8">
                  <c:v>0</c:v>
                </c:pt>
                <c:pt idx="9">
                  <c:v>2400</c:v>
                </c:pt>
                <c:pt idx="10">
                  <c:v>2400</c:v>
                </c:pt>
                <c:pt idx="11">
                  <c:v>2400</c:v>
                </c:pt>
                <c:pt idx="12">
                  <c:v>2400</c:v>
                </c:pt>
                <c:pt idx="13">
                  <c:v>2400</c:v>
                </c:pt>
                <c:pt idx="14">
                  <c:v>2400</c:v>
                </c:pt>
                <c:pt idx="15">
                  <c:v>2400</c:v>
                </c:pt>
                <c:pt idx="16">
                  <c:v>2400</c:v>
                </c:pt>
                <c:pt idx="17">
                  <c:v>2400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C5C3-4D97-A99C-15D34D0C261B}"/>
            </c:ext>
          </c:extLst>
        </c:ser>
        <c:ser>
          <c:idx val="4"/>
          <c:order val="4"/>
          <c:tx>
            <c:strRef>
              <c:f>'2. Inputs'!$C$92</c:f>
              <c:strCache>
                <c:ptCount val="1"/>
                <c:pt idx="0">
                  <c:v>Schools</c:v>
                </c:pt>
              </c:strCache>
            </c:strRef>
          </c:tx>
          <c:spPr>
            <a:solidFill>
              <a:schemeClr val="accent5"/>
            </a:solidFill>
            <a:ln>
              <a:noFill/>
            </a:ln>
            <a:effectLst/>
          </c:spPr>
          <c:invertIfNegative val="0"/>
          <c:val>
            <c:numRef>
              <c:f>'2. Inputs'!$D$92:$AA$92</c:f>
              <c:numCache>
                <c:formatCode>#,##0</c:formatCode>
                <c:ptCount val="24"/>
                <c:pt idx="0">
                  <c:v>0</c:v>
                </c:pt>
                <c:pt idx="1">
                  <c:v>0</c:v>
                </c:pt>
                <c:pt idx="2">
                  <c:v>0</c:v>
                </c:pt>
                <c:pt idx="3">
                  <c:v>0</c:v>
                </c:pt>
                <c:pt idx="4">
                  <c:v>0</c:v>
                </c:pt>
                <c:pt idx="5">
                  <c:v>0</c:v>
                </c:pt>
                <c:pt idx="6">
                  <c:v>0</c:v>
                </c:pt>
                <c:pt idx="7">
                  <c:v>0</c:v>
                </c:pt>
                <c:pt idx="8">
                  <c:v>0</c:v>
                </c:pt>
                <c:pt idx="9">
                  <c:v>0</c:v>
                </c:pt>
                <c:pt idx="10">
                  <c:v>4.09</c:v>
                </c:pt>
                <c:pt idx="11">
                  <c:v>4.09</c:v>
                </c:pt>
                <c:pt idx="12">
                  <c:v>4.09</c:v>
                </c:pt>
                <c:pt idx="13">
                  <c:v>4.09</c:v>
                </c:pt>
                <c:pt idx="14">
                  <c:v>4.09</c:v>
                </c:pt>
                <c:pt idx="15">
                  <c:v>4.09</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1-C5C3-4D97-A99C-15D34D0C261B}"/>
            </c:ext>
          </c:extLst>
        </c:ser>
        <c:ser>
          <c:idx val="5"/>
          <c:order val="5"/>
          <c:tx>
            <c:strRef>
              <c:f>'2. Inputs'!$C$93</c:f>
              <c:strCache>
                <c:ptCount val="1"/>
                <c:pt idx="0">
                  <c:v>Street Lights</c:v>
                </c:pt>
              </c:strCache>
            </c:strRef>
          </c:tx>
          <c:spPr>
            <a:solidFill>
              <a:schemeClr val="accent6"/>
            </a:solidFill>
            <a:ln>
              <a:noFill/>
            </a:ln>
            <a:effectLst/>
          </c:spPr>
          <c:invertIfNegative val="0"/>
          <c:val>
            <c:numRef>
              <c:f>'2. Inputs'!$D$93:$AA$93</c:f>
              <c:numCache>
                <c:formatCode>#,##0</c:formatCode>
                <c:ptCount val="24"/>
                <c:pt idx="0">
                  <c:v>600</c:v>
                </c:pt>
                <c:pt idx="1">
                  <c:v>600</c:v>
                </c:pt>
                <c:pt idx="2">
                  <c:v>600</c:v>
                </c:pt>
                <c:pt idx="3">
                  <c:v>600</c:v>
                </c:pt>
                <c:pt idx="4">
                  <c:v>600</c:v>
                </c:pt>
                <c:pt idx="5">
                  <c:v>600</c:v>
                </c:pt>
                <c:pt idx="6">
                  <c:v>0</c:v>
                </c:pt>
                <c:pt idx="7">
                  <c:v>0</c:v>
                </c:pt>
                <c:pt idx="8">
                  <c:v>0</c:v>
                </c:pt>
                <c:pt idx="9">
                  <c:v>0</c:v>
                </c:pt>
                <c:pt idx="10">
                  <c:v>0</c:v>
                </c:pt>
                <c:pt idx="11">
                  <c:v>0</c:v>
                </c:pt>
                <c:pt idx="12">
                  <c:v>0</c:v>
                </c:pt>
                <c:pt idx="13">
                  <c:v>0</c:v>
                </c:pt>
                <c:pt idx="14">
                  <c:v>0</c:v>
                </c:pt>
                <c:pt idx="15">
                  <c:v>0</c:v>
                </c:pt>
                <c:pt idx="16">
                  <c:v>0</c:v>
                </c:pt>
                <c:pt idx="17">
                  <c:v>0</c:v>
                </c:pt>
                <c:pt idx="18">
                  <c:v>600</c:v>
                </c:pt>
                <c:pt idx="19">
                  <c:v>600</c:v>
                </c:pt>
                <c:pt idx="20">
                  <c:v>600</c:v>
                </c:pt>
                <c:pt idx="21">
                  <c:v>600</c:v>
                </c:pt>
                <c:pt idx="22">
                  <c:v>600</c:v>
                </c:pt>
                <c:pt idx="23">
                  <c:v>600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2-C5C3-4D97-A99C-15D34D0C261B}"/>
            </c:ext>
          </c:extLst>
        </c:ser>
        <c:ser>
          <c:idx val="6"/>
          <c:order val="6"/>
          <c:tx>
            <c:strRef>
              <c:f>'2. Inputs'!$C$94</c:f>
              <c:strCache>
                <c:ptCount val="1"/>
                <c:pt idx="0">
                  <c:v>Mobile Shops</c:v>
                </c:pt>
              </c:strCache>
            </c:strRef>
          </c:tx>
          <c:spPr>
            <a:solidFill>
              <a:schemeClr val="accent1">
                <a:lumMod val="60000"/>
              </a:schemeClr>
            </a:solidFill>
            <a:ln>
              <a:noFill/>
            </a:ln>
            <a:effectLst/>
          </c:spPr>
          <c:invertIfNegative val="0"/>
          <c:val>
            <c:numRef>
              <c:f>'2. Inputs'!$D$94:$AA$94</c:f>
              <c:numCache>
                <c:formatCode>#,##0</c:formatCode>
                <c:ptCount val="24"/>
                <c:pt idx="0">
                  <c:v>0</c:v>
                </c:pt>
                <c:pt idx="1">
                  <c:v>0</c:v>
                </c:pt>
                <c:pt idx="2">
                  <c:v>0</c:v>
                </c:pt>
                <c:pt idx="3">
                  <c:v>0</c:v>
                </c:pt>
                <c:pt idx="4">
                  <c:v>0</c:v>
                </c:pt>
                <c:pt idx="5">
                  <c:v>0</c:v>
                </c:pt>
                <c:pt idx="6">
                  <c:v>0</c:v>
                </c:pt>
                <c:pt idx="7">
                  <c:v>0</c:v>
                </c:pt>
                <c:pt idx="8">
                  <c:v>0</c:v>
                </c:pt>
                <c:pt idx="9">
                  <c:v>0</c:v>
                </c:pt>
                <c:pt idx="10">
                  <c:v>1000</c:v>
                </c:pt>
                <c:pt idx="11">
                  <c:v>1000</c:v>
                </c:pt>
                <c:pt idx="12">
                  <c:v>1000</c:v>
                </c:pt>
                <c:pt idx="13">
                  <c:v>1000</c:v>
                </c:pt>
                <c:pt idx="14">
                  <c:v>1000</c:v>
                </c:pt>
                <c:pt idx="15">
                  <c:v>1000</c:v>
                </c:pt>
                <c:pt idx="16">
                  <c:v>1000</c:v>
                </c:pt>
                <c:pt idx="17">
                  <c:v>1000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3-C5C3-4D97-A99C-15D34D0C261B}"/>
            </c:ext>
          </c:extLst>
        </c:ser>
        <c:ser>
          <c:idx val="7"/>
          <c:order val="7"/>
          <c:tx>
            <c:strRef>
              <c:f>'2. Inputs'!$C$95</c:f>
              <c:strCache>
                <c:ptCount val="1"/>
                <c:pt idx="0">
                  <c:v>Bakery Udhyog</c:v>
                </c:pt>
              </c:strCache>
            </c:strRef>
          </c:tx>
          <c:spPr>
            <a:solidFill>
              <a:schemeClr val="accent2">
                <a:lumMod val="60000"/>
              </a:schemeClr>
            </a:solidFill>
            <a:ln>
              <a:noFill/>
            </a:ln>
            <a:effectLst/>
          </c:spPr>
          <c:invertIfNegative val="0"/>
          <c:val>
            <c:numRef>
              <c:f>'2. Inputs'!$D$95:$AA$95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4-C5C3-4D97-A99C-15D34D0C261B}"/>
            </c:ext>
          </c:extLst>
        </c:ser>
        <c:ser>
          <c:idx val="8"/>
          <c:order val="8"/>
          <c:tx>
            <c:strRef>
              <c:f>'2. Inputs'!$C$96</c:f>
              <c:strCache>
                <c:ptCount val="1"/>
                <c:pt idx="0">
                  <c:v>Grill Udhyog</c:v>
                </c:pt>
              </c:strCache>
            </c:strRef>
          </c:tx>
          <c:spPr>
            <a:solidFill>
              <a:schemeClr val="accent3">
                <a:lumMod val="60000"/>
              </a:schemeClr>
            </a:solidFill>
            <a:ln>
              <a:noFill/>
            </a:ln>
            <a:effectLst/>
          </c:spPr>
          <c:invertIfNegative val="0"/>
          <c:val>
            <c:numRef>
              <c:f>'2. Inputs'!$D$96:$AA$96</c:f>
              <c:numCache>
                <c:formatCode>#,##0</c:formatCode>
                <c:ptCount val="24"/>
                <c:pt idx="0">
                  <c:v>0</c:v>
                </c:pt>
                <c:pt idx="1">
                  <c:v>0</c:v>
                </c:pt>
                <c:pt idx="2">
                  <c:v>0</c:v>
                </c:pt>
                <c:pt idx="3">
                  <c:v>0</c:v>
                </c:pt>
                <c:pt idx="4">
                  <c:v>0</c:v>
                </c:pt>
                <c:pt idx="5">
                  <c:v>0</c:v>
                </c:pt>
                <c:pt idx="6">
                  <c:v>0</c:v>
                </c:pt>
                <c:pt idx="7">
                  <c:v>0</c:v>
                </c:pt>
                <c:pt idx="8">
                  <c:v>0</c:v>
                </c:pt>
                <c:pt idx="9">
                  <c:v>0</c:v>
                </c:pt>
                <c:pt idx="10">
                  <c:v>1500</c:v>
                </c:pt>
                <c:pt idx="11">
                  <c:v>1500</c:v>
                </c:pt>
                <c:pt idx="12">
                  <c:v>1500</c:v>
                </c:pt>
                <c:pt idx="13">
                  <c:v>1500</c:v>
                </c:pt>
                <c:pt idx="14">
                  <c:v>1500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5-C5C3-4D97-A99C-15D34D0C261B}"/>
            </c:ext>
          </c:extLst>
        </c:ser>
        <c:ser>
          <c:idx val="9"/>
          <c:order val="9"/>
          <c:tx>
            <c:strRef>
              <c:f>'2. Inputs'!$C$97</c:f>
              <c:strCache>
                <c:ptCount val="1"/>
                <c:pt idx="0">
                  <c:v>Poultary Farm</c:v>
                </c:pt>
              </c:strCache>
            </c:strRef>
          </c:tx>
          <c:spPr>
            <a:solidFill>
              <a:schemeClr val="accent4">
                <a:lumMod val="60000"/>
              </a:schemeClr>
            </a:solidFill>
            <a:ln>
              <a:noFill/>
            </a:ln>
            <a:effectLst/>
          </c:spPr>
          <c:invertIfNegative val="0"/>
          <c:val>
            <c:numRef>
              <c:f>'2. Inputs'!$D$97:$AA$97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Inputs'!$D$87:$AA$87</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6-C5C3-4D97-A99C-15D34D0C261B}"/>
            </c:ext>
          </c:extLst>
        </c:ser>
        <c:dLbls>
          <c:showLegendKey val="0"/>
          <c:showVal val="0"/>
          <c:showCatName val="0"/>
          <c:showSerName val="0"/>
          <c:showPercent val="0"/>
          <c:showBubbleSize val="0"/>
        </c:dLbls>
        <c:gapWidth val="219"/>
        <c:overlap val="100"/>
        <c:axId val="1825779663"/>
        <c:axId val="1838143775"/>
      </c:barChart>
      <c:catAx>
        <c:axId val="1825779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Hours</a:t>
                </a:r>
              </a:p>
            </c:rich>
          </c:tx>
          <c:layout>
            <c:manualLayout>
              <c:xMode val="edge"/>
              <c:yMode val="edge"/>
              <c:x val="1.5574206144892355E-2"/>
              <c:y val="0.8566194965646556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43775"/>
        <c:crosses val="autoZero"/>
        <c:auto val="1"/>
        <c:lblAlgn val="ctr"/>
        <c:lblOffset val="100"/>
        <c:noMultiLvlLbl val="0"/>
      </c:catAx>
      <c:valAx>
        <c:axId val="1838143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779663"/>
        <c:crosses val="autoZero"/>
        <c:crossBetween val="between"/>
      </c:valAx>
      <c:spPr>
        <a:noFill/>
        <a:ln>
          <a:noFill/>
        </a:ln>
        <a:effectLst/>
      </c:spPr>
    </c:plotArea>
    <c:legend>
      <c:legendPos val="r"/>
      <c:layout>
        <c:manualLayout>
          <c:xMode val="edge"/>
          <c:yMode val="edge"/>
          <c:x val="0.85225967257360413"/>
          <c:y val="0.16030194766712483"/>
          <c:w val="0.14774032742639595"/>
          <c:h val="0.7066700633726827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Daily Profile</a:t>
            </a:r>
          </a:p>
        </c:rich>
      </c:tx>
      <c:layout>
        <c:manualLayout>
          <c:xMode val="edge"/>
          <c:yMode val="edge"/>
          <c:x val="0.4023916633047952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581704043010405"/>
          <c:y val="0.11937353509823617"/>
          <c:w val="0.70293621420528141"/>
          <c:h val="0.71745858019145714"/>
        </c:manualLayout>
      </c:layout>
      <c:barChart>
        <c:barDir val="col"/>
        <c:grouping val="stacked"/>
        <c:varyColors val="0"/>
        <c:ser>
          <c:idx val="0"/>
          <c:order val="0"/>
          <c:tx>
            <c:strRef>
              <c:f>'2. Inputs'!$C$89</c:f>
              <c:strCache>
                <c:ptCount val="1"/>
                <c:pt idx="0">
                  <c:v>Agro Processing Mills</c:v>
                </c:pt>
              </c:strCache>
            </c:strRef>
          </c:tx>
          <c:spPr>
            <a:solidFill>
              <a:schemeClr val="accent1"/>
            </a:solidFill>
            <a:ln>
              <a:noFill/>
            </a:ln>
            <a:effectLst/>
          </c:spPr>
          <c:invertIfNegative val="0"/>
          <c:val>
            <c:numRef>
              <c:f>'2. Inputs'!$D$89:$AA$89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6486-40C6-8C2A-06D163ED9EAF}"/>
            </c:ext>
          </c:extLst>
        </c:ser>
        <c:ser>
          <c:idx val="1"/>
          <c:order val="1"/>
          <c:tx>
            <c:strRef>
              <c:f>'2. Inputs'!$C$90</c:f>
              <c:strCache>
                <c:ptCount val="1"/>
                <c:pt idx="0">
                  <c:v>Saw Mills</c:v>
                </c:pt>
              </c:strCache>
            </c:strRef>
          </c:tx>
          <c:spPr>
            <a:solidFill>
              <a:schemeClr val="accent2"/>
            </a:solidFill>
            <a:ln>
              <a:noFill/>
            </a:ln>
            <a:effectLst/>
          </c:spPr>
          <c:invertIfNegative val="0"/>
          <c:val>
            <c:numRef>
              <c:f>'2. Inputs'!$D$90:$AA$90</c:f>
              <c:numCache>
                <c:formatCode>#,##0</c:formatCode>
                <c:ptCount val="24"/>
                <c:pt idx="0">
                  <c:v>0</c:v>
                </c:pt>
                <c:pt idx="1">
                  <c:v>0</c:v>
                </c:pt>
                <c:pt idx="2">
                  <c:v>0</c:v>
                </c:pt>
                <c:pt idx="3">
                  <c:v>0</c:v>
                </c:pt>
                <c:pt idx="4">
                  <c:v>0</c:v>
                </c:pt>
                <c:pt idx="5">
                  <c:v>0</c:v>
                </c:pt>
                <c:pt idx="6">
                  <c:v>0</c:v>
                </c:pt>
                <c:pt idx="7">
                  <c:v>0</c:v>
                </c:pt>
                <c:pt idx="8">
                  <c:v>0</c:v>
                </c:pt>
                <c:pt idx="9">
                  <c:v>0</c:v>
                </c:pt>
                <c:pt idx="10">
                  <c:v>6000</c:v>
                </c:pt>
                <c:pt idx="11">
                  <c:v>6000</c:v>
                </c:pt>
                <c:pt idx="12">
                  <c:v>6000</c:v>
                </c:pt>
                <c:pt idx="13">
                  <c:v>6000</c:v>
                </c:pt>
                <c:pt idx="14">
                  <c:v>6000</c:v>
                </c:pt>
                <c:pt idx="15">
                  <c:v>6000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1-6486-40C6-8C2A-06D163ED9EAF}"/>
            </c:ext>
          </c:extLst>
        </c:ser>
        <c:ser>
          <c:idx val="2"/>
          <c:order val="2"/>
          <c:tx>
            <c:strRef>
              <c:f>'2. Inputs'!$C$94</c:f>
              <c:strCache>
                <c:ptCount val="1"/>
                <c:pt idx="0">
                  <c:v>Mobile Shops</c:v>
                </c:pt>
              </c:strCache>
            </c:strRef>
          </c:tx>
          <c:spPr>
            <a:solidFill>
              <a:schemeClr val="accent3"/>
            </a:solidFill>
            <a:ln>
              <a:noFill/>
            </a:ln>
            <a:effectLst/>
          </c:spPr>
          <c:invertIfNegative val="0"/>
          <c:val>
            <c:numRef>
              <c:f>'2. Inputs'!$D$94:$AA$94</c:f>
              <c:numCache>
                <c:formatCode>#,##0</c:formatCode>
                <c:ptCount val="24"/>
                <c:pt idx="0">
                  <c:v>0</c:v>
                </c:pt>
                <c:pt idx="1">
                  <c:v>0</c:v>
                </c:pt>
                <c:pt idx="2">
                  <c:v>0</c:v>
                </c:pt>
                <c:pt idx="3">
                  <c:v>0</c:v>
                </c:pt>
                <c:pt idx="4">
                  <c:v>0</c:v>
                </c:pt>
                <c:pt idx="5">
                  <c:v>0</c:v>
                </c:pt>
                <c:pt idx="6">
                  <c:v>0</c:v>
                </c:pt>
                <c:pt idx="7">
                  <c:v>0</c:v>
                </c:pt>
                <c:pt idx="8">
                  <c:v>0</c:v>
                </c:pt>
                <c:pt idx="9">
                  <c:v>0</c:v>
                </c:pt>
                <c:pt idx="10">
                  <c:v>1000</c:v>
                </c:pt>
                <c:pt idx="11">
                  <c:v>1000</c:v>
                </c:pt>
                <c:pt idx="12">
                  <c:v>1000</c:v>
                </c:pt>
                <c:pt idx="13">
                  <c:v>1000</c:v>
                </c:pt>
                <c:pt idx="14">
                  <c:v>1000</c:v>
                </c:pt>
                <c:pt idx="15">
                  <c:v>1000</c:v>
                </c:pt>
                <c:pt idx="16">
                  <c:v>1000</c:v>
                </c:pt>
                <c:pt idx="17">
                  <c:v>1000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2-6486-40C6-8C2A-06D163ED9EAF}"/>
            </c:ext>
          </c:extLst>
        </c:ser>
        <c:ser>
          <c:idx val="3"/>
          <c:order val="3"/>
          <c:tx>
            <c:strRef>
              <c:f>'2. Inputs'!$C$95</c:f>
              <c:strCache>
                <c:ptCount val="1"/>
                <c:pt idx="0">
                  <c:v>Bakery Udhyog</c:v>
                </c:pt>
              </c:strCache>
            </c:strRef>
          </c:tx>
          <c:spPr>
            <a:solidFill>
              <a:schemeClr val="accent4"/>
            </a:solidFill>
            <a:ln>
              <a:noFill/>
            </a:ln>
            <a:effectLst/>
          </c:spPr>
          <c:invertIfNegative val="0"/>
          <c:val>
            <c:numRef>
              <c:f>'2. Inputs'!$D$95:$AA$95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3-6486-40C6-8C2A-06D163ED9EAF}"/>
            </c:ext>
          </c:extLst>
        </c:ser>
        <c:ser>
          <c:idx val="4"/>
          <c:order val="4"/>
          <c:tx>
            <c:strRef>
              <c:f>'2. Inputs'!$C$96</c:f>
              <c:strCache>
                <c:ptCount val="1"/>
                <c:pt idx="0">
                  <c:v>Grill Udhyog</c:v>
                </c:pt>
              </c:strCache>
            </c:strRef>
          </c:tx>
          <c:spPr>
            <a:solidFill>
              <a:schemeClr val="accent5"/>
            </a:solidFill>
            <a:ln>
              <a:noFill/>
            </a:ln>
            <a:effectLst/>
          </c:spPr>
          <c:invertIfNegative val="0"/>
          <c:val>
            <c:numRef>
              <c:f>'2. Inputs'!$D$96:$AA$96</c:f>
              <c:numCache>
                <c:formatCode>#,##0</c:formatCode>
                <c:ptCount val="24"/>
                <c:pt idx="0">
                  <c:v>0</c:v>
                </c:pt>
                <c:pt idx="1">
                  <c:v>0</c:v>
                </c:pt>
                <c:pt idx="2">
                  <c:v>0</c:v>
                </c:pt>
                <c:pt idx="3">
                  <c:v>0</c:v>
                </c:pt>
                <c:pt idx="4">
                  <c:v>0</c:v>
                </c:pt>
                <c:pt idx="5">
                  <c:v>0</c:v>
                </c:pt>
                <c:pt idx="6">
                  <c:v>0</c:v>
                </c:pt>
                <c:pt idx="7">
                  <c:v>0</c:v>
                </c:pt>
                <c:pt idx="8">
                  <c:v>0</c:v>
                </c:pt>
                <c:pt idx="9">
                  <c:v>0</c:v>
                </c:pt>
                <c:pt idx="10">
                  <c:v>1500</c:v>
                </c:pt>
                <c:pt idx="11">
                  <c:v>1500</c:v>
                </c:pt>
                <c:pt idx="12">
                  <c:v>1500</c:v>
                </c:pt>
                <c:pt idx="13">
                  <c:v>1500</c:v>
                </c:pt>
                <c:pt idx="14">
                  <c:v>1500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4-6486-40C6-8C2A-06D163ED9EAF}"/>
            </c:ext>
          </c:extLst>
        </c:ser>
        <c:ser>
          <c:idx val="5"/>
          <c:order val="5"/>
          <c:tx>
            <c:strRef>
              <c:f>'2. Inputs'!$C$97</c:f>
              <c:strCache>
                <c:ptCount val="1"/>
                <c:pt idx="0">
                  <c:v>Poultary Farm</c:v>
                </c:pt>
              </c:strCache>
            </c:strRef>
          </c:tx>
          <c:spPr>
            <a:solidFill>
              <a:schemeClr val="accent6"/>
            </a:solidFill>
            <a:ln>
              <a:noFill/>
            </a:ln>
            <a:effectLst/>
          </c:spPr>
          <c:invertIfNegative val="0"/>
          <c:val>
            <c:numRef>
              <c:f>'2. Inputs'!$D$97:$AA$97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5-6486-40C6-8C2A-06D163ED9EAF}"/>
            </c:ext>
          </c:extLst>
        </c:ser>
        <c:ser>
          <c:idx val="6"/>
          <c:order val="6"/>
          <c:tx>
            <c:strRef>
              <c:f>'2. Inputs'!$C$88</c:f>
              <c:strCache>
                <c:ptCount val="1"/>
                <c:pt idx="0">
                  <c:v>Household loads</c:v>
                </c:pt>
              </c:strCache>
            </c:strRef>
          </c:tx>
          <c:spPr>
            <a:solidFill>
              <a:schemeClr val="accent1">
                <a:lumMod val="60000"/>
              </a:schemeClr>
            </a:solidFill>
            <a:ln>
              <a:noFill/>
            </a:ln>
            <a:effectLst/>
          </c:spPr>
          <c:invertIfNegative val="0"/>
          <c:val>
            <c:numRef>
              <c:f>'2. Inputs'!$D$88:$AA$88</c:f>
              <c:numCache>
                <c:formatCode>#,##0</c:formatCode>
                <c:ptCount val="24"/>
                <c:pt idx="0">
                  <c:v>0</c:v>
                </c:pt>
                <c:pt idx="1">
                  <c:v>0</c:v>
                </c:pt>
                <c:pt idx="2">
                  <c:v>0</c:v>
                </c:pt>
                <c:pt idx="3">
                  <c:v>30000</c:v>
                </c:pt>
                <c:pt idx="4">
                  <c:v>30000</c:v>
                </c:pt>
                <c:pt idx="5">
                  <c:v>30000</c:v>
                </c:pt>
                <c:pt idx="6">
                  <c:v>30000</c:v>
                </c:pt>
                <c:pt idx="7">
                  <c:v>0</c:v>
                </c:pt>
                <c:pt idx="8">
                  <c:v>0</c:v>
                </c:pt>
                <c:pt idx="9">
                  <c:v>0</c:v>
                </c:pt>
                <c:pt idx="10">
                  <c:v>0</c:v>
                </c:pt>
                <c:pt idx="11">
                  <c:v>0</c:v>
                </c:pt>
                <c:pt idx="12">
                  <c:v>0</c:v>
                </c:pt>
                <c:pt idx="13">
                  <c:v>0</c:v>
                </c:pt>
                <c:pt idx="14">
                  <c:v>0</c:v>
                </c:pt>
                <c:pt idx="15">
                  <c:v>0</c:v>
                </c:pt>
                <c:pt idx="16">
                  <c:v>0</c:v>
                </c:pt>
                <c:pt idx="17">
                  <c:v>30000</c:v>
                </c:pt>
                <c:pt idx="18">
                  <c:v>30000</c:v>
                </c:pt>
                <c:pt idx="19">
                  <c:v>30000</c:v>
                </c:pt>
                <c:pt idx="20">
                  <c:v>30000</c:v>
                </c:pt>
                <c:pt idx="21">
                  <c:v>30000</c:v>
                </c:pt>
                <c:pt idx="22">
                  <c:v>30000</c:v>
                </c:pt>
                <c:pt idx="23">
                  <c:v>0</c:v>
                </c:pt>
              </c:numCache>
            </c:numRef>
          </c:val>
          <c:extLst>
            <c:ext xmlns:c16="http://schemas.microsoft.com/office/drawing/2014/chart" uri="{C3380CC4-5D6E-409C-BE32-E72D297353CC}">
              <c16:uniqueId val="{00000006-6486-40C6-8C2A-06D163ED9EAF}"/>
            </c:ext>
          </c:extLst>
        </c:ser>
        <c:ser>
          <c:idx val="7"/>
          <c:order val="7"/>
          <c:tx>
            <c:strRef>
              <c:f>'2. Inputs'!$C$91</c:f>
              <c:strCache>
                <c:ptCount val="1"/>
                <c:pt idx="0">
                  <c:v>Healthpost</c:v>
                </c:pt>
              </c:strCache>
            </c:strRef>
          </c:tx>
          <c:spPr>
            <a:solidFill>
              <a:schemeClr val="accent2">
                <a:lumMod val="60000"/>
              </a:schemeClr>
            </a:solidFill>
            <a:ln>
              <a:noFill/>
            </a:ln>
            <a:effectLst/>
          </c:spPr>
          <c:invertIfNegative val="0"/>
          <c:val>
            <c:numRef>
              <c:f>'2. Inputs'!$D$91:$AA$91</c:f>
              <c:numCache>
                <c:formatCode>#,##0</c:formatCode>
                <c:ptCount val="24"/>
                <c:pt idx="0">
                  <c:v>0</c:v>
                </c:pt>
                <c:pt idx="1">
                  <c:v>0</c:v>
                </c:pt>
                <c:pt idx="2">
                  <c:v>0</c:v>
                </c:pt>
                <c:pt idx="3">
                  <c:v>0</c:v>
                </c:pt>
                <c:pt idx="4">
                  <c:v>0</c:v>
                </c:pt>
                <c:pt idx="5">
                  <c:v>0</c:v>
                </c:pt>
                <c:pt idx="6">
                  <c:v>0</c:v>
                </c:pt>
                <c:pt idx="7">
                  <c:v>0</c:v>
                </c:pt>
                <c:pt idx="8">
                  <c:v>0</c:v>
                </c:pt>
                <c:pt idx="9">
                  <c:v>2400</c:v>
                </c:pt>
                <c:pt idx="10">
                  <c:v>2400</c:v>
                </c:pt>
                <c:pt idx="11">
                  <c:v>2400</c:v>
                </c:pt>
                <c:pt idx="12">
                  <c:v>2400</c:v>
                </c:pt>
                <c:pt idx="13">
                  <c:v>2400</c:v>
                </c:pt>
                <c:pt idx="14">
                  <c:v>2400</c:v>
                </c:pt>
                <c:pt idx="15">
                  <c:v>2400</c:v>
                </c:pt>
                <c:pt idx="16">
                  <c:v>2400</c:v>
                </c:pt>
                <c:pt idx="17">
                  <c:v>2400</c:v>
                </c:pt>
                <c:pt idx="18">
                  <c:v>0</c:v>
                </c:pt>
                <c:pt idx="19">
                  <c:v>0</c:v>
                </c:pt>
                <c:pt idx="20">
                  <c:v>0</c:v>
                </c:pt>
                <c:pt idx="21">
                  <c:v>0</c:v>
                </c:pt>
                <c:pt idx="22">
                  <c:v>0</c:v>
                </c:pt>
                <c:pt idx="23">
                  <c:v>0</c:v>
                </c:pt>
              </c:numCache>
            </c:numRef>
          </c:val>
          <c:extLst>
            <c:ext xmlns:c16="http://schemas.microsoft.com/office/drawing/2014/chart" uri="{C3380CC4-5D6E-409C-BE32-E72D297353CC}">
              <c16:uniqueId val="{00000007-6486-40C6-8C2A-06D163ED9EAF}"/>
            </c:ext>
          </c:extLst>
        </c:ser>
        <c:ser>
          <c:idx val="8"/>
          <c:order val="8"/>
          <c:tx>
            <c:strRef>
              <c:f>'2. Inputs'!$C$92</c:f>
              <c:strCache>
                <c:ptCount val="1"/>
                <c:pt idx="0">
                  <c:v>Schools</c:v>
                </c:pt>
              </c:strCache>
            </c:strRef>
          </c:tx>
          <c:spPr>
            <a:solidFill>
              <a:schemeClr val="accent3">
                <a:lumMod val="60000"/>
              </a:schemeClr>
            </a:solidFill>
            <a:ln>
              <a:noFill/>
            </a:ln>
            <a:effectLst/>
          </c:spPr>
          <c:invertIfNegative val="0"/>
          <c:val>
            <c:numRef>
              <c:f>'2. Inputs'!$D$92:$AA$92</c:f>
              <c:numCache>
                <c:formatCode>#,##0</c:formatCode>
                <c:ptCount val="24"/>
                <c:pt idx="0">
                  <c:v>0</c:v>
                </c:pt>
                <c:pt idx="1">
                  <c:v>0</c:v>
                </c:pt>
                <c:pt idx="2">
                  <c:v>0</c:v>
                </c:pt>
                <c:pt idx="3">
                  <c:v>0</c:v>
                </c:pt>
                <c:pt idx="4">
                  <c:v>0</c:v>
                </c:pt>
                <c:pt idx="5">
                  <c:v>0</c:v>
                </c:pt>
                <c:pt idx="6">
                  <c:v>0</c:v>
                </c:pt>
                <c:pt idx="7">
                  <c:v>0</c:v>
                </c:pt>
                <c:pt idx="8">
                  <c:v>0</c:v>
                </c:pt>
                <c:pt idx="9">
                  <c:v>0</c:v>
                </c:pt>
                <c:pt idx="10">
                  <c:v>4.09</c:v>
                </c:pt>
                <c:pt idx="11">
                  <c:v>4.09</c:v>
                </c:pt>
                <c:pt idx="12">
                  <c:v>4.09</c:v>
                </c:pt>
                <c:pt idx="13">
                  <c:v>4.09</c:v>
                </c:pt>
                <c:pt idx="14">
                  <c:v>4.09</c:v>
                </c:pt>
                <c:pt idx="15">
                  <c:v>4.09</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8-6486-40C6-8C2A-06D163ED9EAF}"/>
            </c:ext>
          </c:extLst>
        </c:ser>
        <c:ser>
          <c:idx val="9"/>
          <c:order val="9"/>
          <c:tx>
            <c:strRef>
              <c:f>'2. Inputs'!$C$93</c:f>
              <c:strCache>
                <c:ptCount val="1"/>
                <c:pt idx="0">
                  <c:v>Street Lights</c:v>
                </c:pt>
              </c:strCache>
            </c:strRef>
          </c:tx>
          <c:spPr>
            <a:solidFill>
              <a:schemeClr val="accent4">
                <a:lumMod val="60000"/>
              </a:schemeClr>
            </a:solidFill>
            <a:ln>
              <a:noFill/>
            </a:ln>
            <a:effectLst/>
          </c:spPr>
          <c:invertIfNegative val="0"/>
          <c:val>
            <c:numRef>
              <c:f>'2. Inputs'!$D$93:$AA$93</c:f>
              <c:numCache>
                <c:formatCode>#,##0</c:formatCode>
                <c:ptCount val="24"/>
                <c:pt idx="0">
                  <c:v>600</c:v>
                </c:pt>
                <c:pt idx="1">
                  <c:v>600</c:v>
                </c:pt>
                <c:pt idx="2">
                  <c:v>600</c:v>
                </c:pt>
                <c:pt idx="3">
                  <c:v>600</c:v>
                </c:pt>
                <c:pt idx="4">
                  <c:v>600</c:v>
                </c:pt>
                <c:pt idx="5">
                  <c:v>600</c:v>
                </c:pt>
                <c:pt idx="6">
                  <c:v>0</c:v>
                </c:pt>
                <c:pt idx="7">
                  <c:v>0</c:v>
                </c:pt>
                <c:pt idx="8">
                  <c:v>0</c:v>
                </c:pt>
                <c:pt idx="9">
                  <c:v>0</c:v>
                </c:pt>
                <c:pt idx="10">
                  <c:v>0</c:v>
                </c:pt>
                <c:pt idx="11">
                  <c:v>0</c:v>
                </c:pt>
                <c:pt idx="12">
                  <c:v>0</c:v>
                </c:pt>
                <c:pt idx="13">
                  <c:v>0</c:v>
                </c:pt>
                <c:pt idx="14">
                  <c:v>0</c:v>
                </c:pt>
                <c:pt idx="15">
                  <c:v>0</c:v>
                </c:pt>
                <c:pt idx="16">
                  <c:v>0</c:v>
                </c:pt>
                <c:pt idx="17">
                  <c:v>0</c:v>
                </c:pt>
                <c:pt idx="18">
                  <c:v>600</c:v>
                </c:pt>
                <c:pt idx="19">
                  <c:v>600</c:v>
                </c:pt>
                <c:pt idx="20">
                  <c:v>600</c:v>
                </c:pt>
                <c:pt idx="21">
                  <c:v>600</c:v>
                </c:pt>
                <c:pt idx="22">
                  <c:v>600</c:v>
                </c:pt>
                <c:pt idx="23">
                  <c:v>600</c:v>
                </c:pt>
              </c:numCache>
            </c:numRef>
          </c:val>
          <c:extLst>
            <c:ext xmlns:c16="http://schemas.microsoft.com/office/drawing/2014/chart" uri="{C3380CC4-5D6E-409C-BE32-E72D297353CC}">
              <c16:uniqueId val="{00000009-6486-40C6-8C2A-06D163ED9EAF}"/>
            </c:ext>
          </c:extLst>
        </c:ser>
        <c:dLbls>
          <c:showLegendKey val="0"/>
          <c:showVal val="0"/>
          <c:showCatName val="0"/>
          <c:showSerName val="0"/>
          <c:showPercent val="0"/>
          <c:showBubbleSize val="0"/>
        </c:dLbls>
        <c:gapWidth val="219"/>
        <c:overlap val="100"/>
        <c:axId val="1825779663"/>
        <c:axId val="1838143775"/>
      </c:barChart>
      <c:catAx>
        <c:axId val="1825779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r>
                  <a:rPr lang="en-GB" baseline="0"/>
                  <a:t> of day</a:t>
                </a:r>
                <a:endParaRPr lang="en-GB"/>
              </a:p>
            </c:rich>
          </c:tx>
          <c:layout>
            <c:manualLayout>
              <c:xMode val="edge"/>
              <c:yMode val="edge"/>
              <c:x val="0.4267216074130592"/>
              <c:y val="0.916363919856552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43775"/>
        <c:crosses val="autoZero"/>
        <c:auto val="1"/>
        <c:lblAlgn val="ctr"/>
        <c:lblOffset val="100"/>
        <c:noMultiLvlLbl val="0"/>
      </c:catAx>
      <c:valAx>
        <c:axId val="1838143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kW</a:t>
                </a:r>
              </a:p>
            </c:rich>
          </c:tx>
          <c:layout>
            <c:manualLayout>
              <c:xMode val="edge"/>
              <c:yMode val="edge"/>
              <c:x val="4.1564955810816166E-4"/>
              <c:y val="0.429536740006264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779663"/>
        <c:crosses val="autoZero"/>
        <c:crossBetween val="between"/>
      </c:valAx>
      <c:spPr>
        <a:noFill/>
        <a:ln>
          <a:noFill/>
        </a:ln>
        <a:effectLst/>
      </c:spPr>
    </c:plotArea>
    <c:legend>
      <c:legendPos val="r"/>
      <c:layout>
        <c:manualLayout>
          <c:xMode val="edge"/>
          <c:yMode val="edge"/>
          <c:x val="0.82236327232650408"/>
          <c:y val="9.1465171791797625E-2"/>
          <c:w val="0.17500524742026874"/>
          <c:h val="0.859152112158819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Daily Profile</a:t>
            </a:r>
          </a:p>
        </c:rich>
      </c:tx>
      <c:layout>
        <c:manualLayout>
          <c:xMode val="edge"/>
          <c:yMode val="edge"/>
          <c:x val="0.4023256884424277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87210139764532"/>
          <c:y val="0.11577495587361618"/>
          <c:w val="0.69825438762030578"/>
          <c:h val="0.72137042807310925"/>
        </c:manualLayout>
      </c:layout>
      <c:areaChart>
        <c:grouping val="stacked"/>
        <c:varyColors val="0"/>
        <c:ser>
          <c:idx val="0"/>
          <c:order val="0"/>
          <c:tx>
            <c:strRef>
              <c:f>'2. Inputs'!$C$89</c:f>
              <c:strCache>
                <c:ptCount val="1"/>
                <c:pt idx="0">
                  <c:v>Agro Processing Mills</c:v>
                </c:pt>
              </c:strCache>
            </c:strRef>
          </c:tx>
          <c:spPr>
            <a:solidFill>
              <a:schemeClr val="accent1"/>
            </a:solidFill>
            <a:ln>
              <a:noFill/>
            </a:ln>
            <a:effectLst/>
          </c:spPr>
          <c:val>
            <c:numRef>
              <c:f>'2. Inputs'!$D$89:$AA$89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51EB-4184-94FE-5D8077FB32B6}"/>
            </c:ext>
          </c:extLst>
        </c:ser>
        <c:ser>
          <c:idx val="1"/>
          <c:order val="1"/>
          <c:tx>
            <c:strRef>
              <c:f>'2. Inputs'!$C$90</c:f>
              <c:strCache>
                <c:ptCount val="1"/>
                <c:pt idx="0">
                  <c:v>Saw Mills</c:v>
                </c:pt>
              </c:strCache>
            </c:strRef>
          </c:tx>
          <c:spPr>
            <a:solidFill>
              <a:schemeClr val="accent2"/>
            </a:solidFill>
            <a:ln>
              <a:noFill/>
            </a:ln>
            <a:effectLst/>
          </c:spPr>
          <c:val>
            <c:numRef>
              <c:f>'2. Inputs'!$D$90:$AA$90</c:f>
              <c:numCache>
                <c:formatCode>#,##0</c:formatCode>
                <c:ptCount val="24"/>
                <c:pt idx="0">
                  <c:v>0</c:v>
                </c:pt>
                <c:pt idx="1">
                  <c:v>0</c:v>
                </c:pt>
                <c:pt idx="2">
                  <c:v>0</c:v>
                </c:pt>
                <c:pt idx="3">
                  <c:v>0</c:v>
                </c:pt>
                <c:pt idx="4">
                  <c:v>0</c:v>
                </c:pt>
                <c:pt idx="5">
                  <c:v>0</c:v>
                </c:pt>
                <c:pt idx="6">
                  <c:v>0</c:v>
                </c:pt>
                <c:pt idx="7">
                  <c:v>0</c:v>
                </c:pt>
                <c:pt idx="8">
                  <c:v>0</c:v>
                </c:pt>
                <c:pt idx="9">
                  <c:v>0</c:v>
                </c:pt>
                <c:pt idx="10">
                  <c:v>6000</c:v>
                </c:pt>
                <c:pt idx="11">
                  <c:v>6000</c:v>
                </c:pt>
                <c:pt idx="12">
                  <c:v>6000</c:v>
                </c:pt>
                <c:pt idx="13">
                  <c:v>6000</c:v>
                </c:pt>
                <c:pt idx="14">
                  <c:v>6000</c:v>
                </c:pt>
                <c:pt idx="15">
                  <c:v>6000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1-51EB-4184-94FE-5D8077FB32B6}"/>
            </c:ext>
          </c:extLst>
        </c:ser>
        <c:ser>
          <c:idx val="2"/>
          <c:order val="2"/>
          <c:tx>
            <c:strRef>
              <c:f>'2. Inputs'!$C$94</c:f>
              <c:strCache>
                <c:ptCount val="1"/>
                <c:pt idx="0">
                  <c:v>Mobile Shops</c:v>
                </c:pt>
              </c:strCache>
            </c:strRef>
          </c:tx>
          <c:spPr>
            <a:solidFill>
              <a:schemeClr val="accent3"/>
            </a:solidFill>
            <a:ln>
              <a:noFill/>
            </a:ln>
            <a:effectLst/>
          </c:spPr>
          <c:val>
            <c:numRef>
              <c:f>'2. Inputs'!$D$94:$AA$94</c:f>
              <c:numCache>
                <c:formatCode>#,##0</c:formatCode>
                <c:ptCount val="24"/>
                <c:pt idx="0">
                  <c:v>0</c:v>
                </c:pt>
                <c:pt idx="1">
                  <c:v>0</c:v>
                </c:pt>
                <c:pt idx="2">
                  <c:v>0</c:v>
                </c:pt>
                <c:pt idx="3">
                  <c:v>0</c:v>
                </c:pt>
                <c:pt idx="4">
                  <c:v>0</c:v>
                </c:pt>
                <c:pt idx="5">
                  <c:v>0</c:v>
                </c:pt>
                <c:pt idx="6">
                  <c:v>0</c:v>
                </c:pt>
                <c:pt idx="7">
                  <c:v>0</c:v>
                </c:pt>
                <c:pt idx="8">
                  <c:v>0</c:v>
                </c:pt>
                <c:pt idx="9">
                  <c:v>0</c:v>
                </c:pt>
                <c:pt idx="10">
                  <c:v>1000</c:v>
                </c:pt>
                <c:pt idx="11">
                  <c:v>1000</c:v>
                </c:pt>
                <c:pt idx="12">
                  <c:v>1000</c:v>
                </c:pt>
                <c:pt idx="13">
                  <c:v>1000</c:v>
                </c:pt>
                <c:pt idx="14">
                  <c:v>1000</c:v>
                </c:pt>
                <c:pt idx="15">
                  <c:v>1000</c:v>
                </c:pt>
                <c:pt idx="16">
                  <c:v>1000</c:v>
                </c:pt>
                <c:pt idx="17">
                  <c:v>1000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2-51EB-4184-94FE-5D8077FB32B6}"/>
            </c:ext>
          </c:extLst>
        </c:ser>
        <c:ser>
          <c:idx val="3"/>
          <c:order val="3"/>
          <c:tx>
            <c:strRef>
              <c:f>'2. Inputs'!$C$95</c:f>
              <c:strCache>
                <c:ptCount val="1"/>
                <c:pt idx="0">
                  <c:v>Bakery Udhyog</c:v>
                </c:pt>
              </c:strCache>
            </c:strRef>
          </c:tx>
          <c:spPr>
            <a:solidFill>
              <a:schemeClr val="accent4"/>
            </a:solidFill>
            <a:ln>
              <a:noFill/>
            </a:ln>
            <a:effectLst/>
          </c:spPr>
          <c:val>
            <c:numRef>
              <c:f>'2. Inputs'!$D$95:$AA$95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3-51EB-4184-94FE-5D8077FB32B6}"/>
            </c:ext>
          </c:extLst>
        </c:ser>
        <c:ser>
          <c:idx val="4"/>
          <c:order val="4"/>
          <c:tx>
            <c:strRef>
              <c:f>'2. Inputs'!$C$96</c:f>
              <c:strCache>
                <c:ptCount val="1"/>
                <c:pt idx="0">
                  <c:v>Grill Udhyog</c:v>
                </c:pt>
              </c:strCache>
            </c:strRef>
          </c:tx>
          <c:spPr>
            <a:solidFill>
              <a:schemeClr val="accent5"/>
            </a:solidFill>
            <a:ln>
              <a:noFill/>
            </a:ln>
            <a:effectLst/>
          </c:spPr>
          <c:val>
            <c:numRef>
              <c:f>'2. Inputs'!$D$96:$AA$96</c:f>
              <c:numCache>
                <c:formatCode>#,##0</c:formatCode>
                <c:ptCount val="24"/>
                <c:pt idx="0">
                  <c:v>0</c:v>
                </c:pt>
                <c:pt idx="1">
                  <c:v>0</c:v>
                </c:pt>
                <c:pt idx="2">
                  <c:v>0</c:v>
                </c:pt>
                <c:pt idx="3">
                  <c:v>0</c:v>
                </c:pt>
                <c:pt idx="4">
                  <c:v>0</c:v>
                </c:pt>
                <c:pt idx="5">
                  <c:v>0</c:v>
                </c:pt>
                <c:pt idx="6">
                  <c:v>0</c:v>
                </c:pt>
                <c:pt idx="7">
                  <c:v>0</c:v>
                </c:pt>
                <c:pt idx="8">
                  <c:v>0</c:v>
                </c:pt>
                <c:pt idx="9">
                  <c:v>0</c:v>
                </c:pt>
                <c:pt idx="10">
                  <c:v>1500</c:v>
                </c:pt>
                <c:pt idx="11">
                  <c:v>1500</c:v>
                </c:pt>
                <c:pt idx="12">
                  <c:v>1500</c:v>
                </c:pt>
                <c:pt idx="13">
                  <c:v>1500</c:v>
                </c:pt>
                <c:pt idx="14">
                  <c:v>1500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4-51EB-4184-94FE-5D8077FB32B6}"/>
            </c:ext>
          </c:extLst>
        </c:ser>
        <c:ser>
          <c:idx val="5"/>
          <c:order val="5"/>
          <c:tx>
            <c:strRef>
              <c:f>'2. Inputs'!$C$97</c:f>
              <c:strCache>
                <c:ptCount val="1"/>
                <c:pt idx="0">
                  <c:v>Poultary Farm</c:v>
                </c:pt>
              </c:strCache>
            </c:strRef>
          </c:tx>
          <c:spPr>
            <a:solidFill>
              <a:schemeClr val="accent6"/>
            </a:solidFill>
            <a:ln>
              <a:noFill/>
            </a:ln>
            <a:effectLst/>
          </c:spPr>
          <c:val>
            <c:numRef>
              <c:f>'2. Inputs'!$D$97:$AA$97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5-51EB-4184-94FE-5D8077FB32B6}"/>
            </c:ext>
          </c:extLst>
        </c:ser>
        <c:ser>
          <c:idx val="6"/>
          <c:order val="6"/>
          <c:tx>
            <c:strRef>
              <c:f>'2. Inputs'!$C$88</c:f>
              <c:strCache>
                <c:ptCount val="1"/>
                <c:pt idx="0">
                  <c:v>Household loads</c:v>
                </c:pt>
              </c:strCache>
            </c:strRef>
          </c:tx>
          <c:spPr>
            <a:solidFill>
              <a:schemeClr val="accent1">
                <a:lumMod val="60000"/>
              </a:schemeClr>
            </a:solidFill>
            <a:ln>
              <a:noFill/>
            </a:ln>
            <a:effectLst/>
          </c:spPr>
          <c:val>
            <c:numRef>
              <c:f>'2. Inputs'!$D$88:$AA$88</c:f>
              <c:numCache>
                <c:formatCode>#,##0</c:formatCode>
                <c:ptCount val="24"/>
                <c:pt idx="0">
                  <c:v>0</c:v>
                </c:pt>
                <c:pt idx="1">
                  <c:v>0</c:v>
                </c:pt>
                <c:pt idx="2">
                  <c:v>0</c:v>
                </c:pt>
                <c:pt idx="3">
                  <c:v>30000</c:v>
                </c:pt>
                <c:pt idx="4">
                  <c:v>30000</c:v>
                </c:pt>
                <c:pt idx="5">
                  <c:v>30000</c:v>
                </c:pt>
                <c:pt idx="6">
                  <c:v>30000</c:v>
                </c:pt>
                <c:pt idx="7">
                  <c:v>0</c:v>
                </c:pt>
                <c:pt idx="8">
                  <c:v>0</c:v>
                </c:pt>
                <c:pt idx="9">
                  <c:v>0</c:v>
                </c:pt>
                <c:pt idx="10">
                  <c:v>0</c:v>
                </c:pt>
                <c:pt idx="11">
                  <c:v>0</c:v>
                </c:pt>
                <c:pt idx="12">
                  <c:v>0</c:v>
                </c:pt>
                <c:pt idx="13">
                  <c:v>0</c:v>
                </c:pt>
                <c:pt idx="14">
                  <c:v>0</c:v>
                </c:pt>
                <c:pt idx="15">
                  <c:v>0</c:v>
                </c:pt>
                <c:pt idx="16">
                  <c:v>0</c:v>
                </c:pt>
                <c:pt idx="17">
                  <c:v>30000</c:v>
                </c:pt>
                <c:pt idx="18">
                  <c:v>30000</c:v>
                </c:pt>
                <c:pt idx="19">
                  <c:v>30000</c:v>
                </c:pt>
                <c:pt idx="20">
                  <c:v>30000</c:v>
                </c:pt>
                <c:pt idx="21">
                  <c:v>30000</c:v>
                </c:pt>
                <c:pt idx="22">
                  <c:v>30000</c:v>
                </c:pt>
                <c:pt idx="23">
                  <c:v>0</c:v>
                </c:pt>
              </c:numCache>
            </c:numRef>
          </c:val>
          <c:extLst>
            <c:ext xmlns:c16="http://schemas.microsoft.com/office/drawing/2014/chart" uri="{C3380CC4-5D6E-409C-BE32-E72D297353CC}">
              <c16:uniqueId val="{00000006-51EB-4184-94FE-5D8077FB32B6}"/>
            </c:ext>
          </c:extLst>
        </c:ser>
        <c:ser>
          <c:idx val="7"/>
          <c:order val="7"/>
          <c:tx>
            <c:strRef>
              <c:f>'2. Inputs'!$C$91</c:f>
              <c:strCache>
                <c:ptCount val="1"/>
                <c:pt idx="0">
                  <c:v>Healthpost</c:v>
                </c:pt>
              </c:strCache>
            </c:strRef>
          </c:tx>
          <c:spPr>
            <a:solidFill>
              <a:schemeClr val="accent2">
                <a:lumMod val="60000"/>
              </a:schemeClr>
            </a:solidFill>
            <a:ln>
              <a:noFill/>
            </a:ln>
            <a:effectLst/>
          </c:spPr>
          <c:val>
            <c:numRef>
              <c:f>'2. Inputs'!$D$91:$AA$91</c:f>
              <c:numCache>
                <c:formatCode>#,##0</c:formatCode>
                <c:ptCount val="24"/>
                <c:pt idx="0">
                  <c:v>0</c:v>
                </c:pt>
                <c:pt idx="1">
                  <c:v>0</c:v>
                </c:pt>
                <c:pt idx="2">
                  <c:v>0</c:v>
                </c:pt>
                <c:pt idx="3">
                  <c:v>0</c:v>
                </c:pt>
                <c:pt idx="4">
                  <c:v>0</c:v>
                </c:pt>
                <c:pt idx="5">
                  <c:v>0</c:v>
                </c:pt>
                <c:pt idx="6">
                  <c:v>0</c:v>
                </c:pt>
                <c:pt idx="7">
                  <c:v>0</c:v>
                </c:pt>
                <c:pt idx="8">
                  <c:v>0</c:v>
                </c:pt>
                <c:pt idx="9">
                  <c:v>2400</c:v>
                </c:pt>
                <c:pt idx="10">
                  <c:v>2400</c:v>
                </c:pt>
                <c:pt idx="11">
                  <c:v>2400</c:v>
                </c:pt>
                <c:pt idx="12">
                  <c:v>2400</c:v>
                </c:pt>
                <c:pt idx="13">
                  <c:v>2400</c:v>
                </c:pt>
                <c:pt idx="14">
                  <c:v>2400</c:v>
                </c:pt>
                <c:pt idx="15">
                  <c:v>2400</c:v>
                </c:pt>
                <c:pt idx="16">
                  <c:v>2400</c:v>
                </c:pt>
                <c:pt idx="17">
                  <c:v>2400</c:v>
                </c:pt>
                <c:pt idx="18">
                  <c:v>0</c:v>
                </c:pt>
                <c:pt idx="19">
                  <c:v>0</c:v>
                </c:pt>
                <c:pt idx="20">
                  <c:v>0</c:v>
                </c:pt>
                <c:pt idx="21">
                  <c:v>0</c:v>
                </c:pt>
                <c:pt idx="22">
                  <c:v>0</c:v>
                </c:pt>
                <c:pt idx="23">
                  <c:v>0</c:v>
                </c:pt>
              </c:numCache>
            </c:numRef>
          </c:val>
          <c:extLst>
            <c:ext xmlns:c16="http://schemas.microsoft.com/office/drawing/2014/chart" uri="{C3380CC4-5D6E-409C-BE32-E72D297353CC}">
              <c16:uniqueId val="{00000007-51EB-4184-94FE-5D8077FB32B6}"/>
            </c:ext>
          </c:extLst>
        </c:ser>
        <c:ser>
          <c:idx val="8"/>
          <c:order val="8"/>
          <c:tx>
            <c:strRef>
              <c:f>'2. Inputs'!$C$92</c:f>
              <c:strCache>
                <c:ptCount val="1"/>
                <c:pt idx="0">
                  <c:v>Schools</c:v>
                </c:pt>
              </c:strCache>
            </c:strRef>
          </c:tx>
          <c:spPr>
            <a:solidFill>
              <a:schemeClr val="accent3">
                <a:lumMod val="60000"/>
              </a:schemeClr>
            </a:solidFill>
            <a:ln>
              <a:noFill/>
            </a:ln>
            <a:effectLst/>
          </c:spPr>
          <c:val>
            <c:numRef>
              <c:f>'2. Inputs'!$D$92:$AA$92</c:f>
              <c:numCache>
                <c:formatCode>#,##0</c:formatCode>
                <c:ptCount val="24"/>
                <c:pt idx="0">
                  <c:v>0</c:v>
                </c:pt>
                <c:pt idx="1">
                  <c:v>0</c:v>
                </c:pt>
                <c:pt idx="2">
                  <c:v>0</c:v>
                </c:pt>
                <c:pt idx="3">
                  <c:v>0</c:v>
                </c:pt>
                <c:pt idx="4">
                  <c:v>0</c:v>
                </c:pt>
                <c:pt idx="5">
                  <c:v>0</c:v>
                </c:pt>
                <c:pt idx="6">
                  <c:v>0</c:v>
                </c:pt>
                <c:pt idx="7">
                  <c:v>0</c:v>
                </c:pt>
                <c:pt idx="8">
                  <c:v>0</c:v>
                </c:pt>
                <c:pt idx="9">
                  <c:v>0</c:v>
                </c:pt>
                <c:pt idx="10">
                  <c:v>4.09</c:v>
                </c:pt>
                <c:pt idx="11">
                  <c:v>4.09</c:v>
                </c:pt>
                <c:pt idx="12">
                  <c:v>4.09</c:v>
                </c:pt>
                <c:pt idx="13">
                  <c:v>4.09</c:v>
                </c:pt>
                <c:pt idx="14">
                  <c:v>4.09</c:v>
                </c:pt>
                <c:pt idx="15">
                  <c:v>4.09</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8-51EB-4184-94FE-5D8077FB32B6}"/>
            </c:ext>
          </c:extLst>
        </c:ser>
        <c:ser>
          <c:idx val="9"/>
          <c:order val="9"/>
          <c:tx>
            <c:strRef>
              <c:f>'2. Inputs'!$C$93</c:f>
              <c:strCache>
                <c:ptCount val="1"/>
                <c:pt idx="0">
                  <c:v>Street Lights</c:v>
                </c:pt>
              </c:strCache>
            </c:strRef>
          </c:tx>
          <c:spPr>
            <a:solidFill>
              <a:schemeClr val="accent4">
                <a:lumMod val="60000"/>
              </a:schemeClr>
            </a:solidFill>
            <a:ln>
              <a:noFill/>
            </a:ln>
            <a:effectLst/>
          </c:spPr>
          <c:val>
            <c:numRef>
              <c:f>'2. Inputs'!$D$93:$AA$93</c:f>
              <c:numCache>
                <c:formatCode>#,##0</c:formatCode>
                <c:ptCount val="24"/>
                <c:pt idx="0">
                  <c:v>600</c:v>
                </c:pt>
                <c:pt idx="1">
                  <c:v>600</c:v>
                </c:pt>
                <c:pt idx="2">
                  <c:v>600</c:v>
                </c:pt>
                <c:pt idx="3">
                  <c:v>600</c:v>
                </c:pt>
                <c:pt idx="4">
                  <c:v>600</c:v>
                </c:pt>
                <c:pt idx="5">
                  <c:v>600</c:v>
                </c:pt>
                <c:pt idx="6">
                  <c:v>0</c:v>
                </c:pt>
                <c:pt idx="7">
                  <c:v>0</c:v>
                </c:pt>
                <c:pt idx="8">
                  <c:v>0</c:v>
                </c:pt>
                <c:pt idx="9">
                  <c:v>0</c:v>
                </c:pt>
                <c:pt idx="10">
                  <c:v>0</c:v>
                </c:pt>
                <c:pt idx="11">
                  <c:v>0</c:v>
                </c:pt>
                <c:pt idx="12">
                  <c:v>0</c:v>
                </c:pt>
                <c:pt idx="13">
                  <c:v>0</c:v>
                </c:pt>
                <c:pt idx="14">
                  <c:v>0</c:v>
                </c:pt>
                <c:pt idx="15">
                  <c:v>0</c:v>
                </c:pt>
                <c:pt idx="16">
                  <c:v>0</c:v>
                </c:pt>
                <c:pt idx="17">
                  <c:v>0</c:v>
                </c:pt>
                <c:pt idx="18">
                  <c:v>600</c:v>
                </c:pt>
                <c:pt idx="19">
                  <c:v>600</c:v>
                </c:pt>
                <c:pt idx="20">
                  <c:v>600</c:v>
                </c:pt>
                <c:pt idx="21">
                  <c:v>600</c:v>
                </c:pt>
                <c:pt idx="22">
                  <c:v>600</c:v>
                </c:pt>
                <c:pt idx="23">
                  <c:v>600</c:v>
                </c:pt>
              </c:numCache>
            </c:numRef>
          </c:val>
          <c:extLst>
            <c:ext xmlns:c16="http://schemas.microsoft.com/office/drawing/2014/chart" uri="{C3380CC4-5D6E-409C-BE32-E72D297353CC}">
              <c16:uniqueId val="{00000009-51EB-4184-94FE-5D8077FB32B6}"/>
            </c:ext>
          </c:extLst>
        </c:ser>
        <c:dLbls>
          <c:showLegendKey val="0"/>
          <c:showVal val="0"/>
          <c:showCatName val="0"/>
          <c:showSerName val="0"/>
          <c:showPercent val="0"/>
          <c:showBubbleSize val="0"/>
        </c:dLbls>
        <c:axId val="1825779663"/>
        <c:axId val="1838143775"/>
      </c:areaChart>
      <c:catAx>
        <c:axId val="1825779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r>
                  <a:rPr lang="en-GB" baseline="0"/>
                  <a:t> of day</a:t>
                </a:r>
                <a:endParaRPr lang="en-GB"/>
              </a:p>
            </c:rich>
          </c:tx>
          <c:layout>
            <c:manualLayout>
              <c:xMode val="edge"/>
              <c:yMode val="edge"/>
              <c:x val="0.43259306195670832"/>
              <c:y val="0.916746641695487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43775"/>
        <c:crosses val="autoZero"/>
        <c:auto val="1"/>
        <c:lblAlgn val="ctr"/>
        <c:lblOffset val="100"/>
        <c:noMultiLvlLbl val="0"/>
      </c:catAx>
      <c:valAx>
        <c:axId val="1838143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kW</a:t>
                </a:r>
              </a:p>
            </c:rich>
          </c:tx>
          <c:layout>
            <c:manualLayout>
              <c:xMode val="edge"/>
              <c:yMode val="edge"/>
              <c:x val="3.0894172736991562E-4"/>
              <c:y val="0.4371745490572431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779663"/>
        <c:crosses val="autoZero"/>
        <c:crossBetween val="midCat"/>
      </c:valAx>
      <c:spPr>
        <a:noFill/>
        <a:ln>
          <a:noFill/>
        </a:ln>
        <a:effectLst/>
      </c:spPr>
    </c:plotArea>
    <c:legend>
      <c:legendPos val="r"/>
      <c:layout>
        <c:manualLayout>
          <c:xMode val="edge"/>
          <c:yMode val="edge"/>
          <c:x val="0.81797340032461696"/>
          <c:y val="0.12755090162683436"/>
          <c:w val="0.17939333797229726"/>
          <c:h val="0.8165709121981966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Daily Profile</a:t>
            </a:r>
          </a:p>
        </c:rich>
      </c:tx>
      <c:layout>
        <c:manualLayout>
          <c:xMode val="edge"/>
          <c:yMode val="edge"/>
          <c:x val="0.4023916633047952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581704043010405"/>
          <c:y val="0.11937353509823617"/>
          <c:w val="0.71025744786612854"/>
          <c:h val="0.66663642353347807"/>
        </c:manualLayout>
      </c:layout>
      <c:barChart>
        <c:barDir val="col"/>
        <c:grouping val="stacked"/>
        <c:varyColors val="0"/>
        <c:ser>
          <c:idx val="0"/>
          <c:order val="0"/>
          <c:tx>
            <c:strRef>
              <c:f>'2. Inputs'!$C$77</c:f>
              <c:strCache>
                <c:ptCount val="1"/>
                <c:pt idx="0">
                  <c:v>Agro Processing Mills</c:v>
                </c:pt>
              </c:strCache>
            </c:strRef>
          </c:tx>
          <c:spPr>
            <a:solidFill>
              <a:schemeClr val="accent1"/>
            </a:solidFill>
            <a:ln>
              <a:noFill/>
            </a:ln>
            <a:effectLst/>
          </c:spPr>
          <c:invertIfNegative val="0"/>
          <c:val>
            <c:numRef>
              <c:f>'2. Inputs'!$D$77:$AA$77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1</c:v>
                </c:pt>
                <c:pt idx="12">
                  <c:v>1</c:v>
                </c:pt>
                <c:pt idx="13">
                  <c:v>1</c:v>
                </c:pt>
                <c:pt idx="14">
                  <c:v>1</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0-2814-4E64-860A-EC236D143703}"/>
            </c:ext>
          </c:extLst>
        </c:ser>
        <c:ser>
          <c:idx val="1"/>
          <c:order val="1"/>
          <c:tx>
            <c:strRef>
              <c:f>'2. Inputs'!$C$78</c:f>
              <c:strCache>
                <c:ptCount val="1"/>
                <c:pt idx="0">
                  <c:v>Saw Mills</c:v>
                </c:pt>
              </c:strCache>
            </c:strRef>
          </c:tx>
          <c:spPr>
            <a:solidFill>
              <a:schemeClr val="accent2"/>
            </a:solidFill>
            <a:ln>
              <a:noFill/>
            </a:ln>
            <a:effectLst/>
          </c:spPr>
          <c:invertIfNegative val="0"/>
          <c:val>
            <c:numRef>
              <c:f>'2. Inputs'!$D$78:$AA$78</c:f>
              <c:numCache>
                <c:formatCode>General</c:formatCode>
                <c:ptCount val="24"/>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1</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1-2814-4E64-860A-EC236D143703}"/>
            </c:ext>
          </c:extLst>
        </c:ser>
        <c:ser>
          <c:idx val="2"/>
          <c:order val="2"/>
          <c:tx>
            <c:strRef>
              <c:f>'2. Inputs'!$C$82</c:f>
              <c:strCache>
                <c:ptCount val="1"/>
                <c:pt idx="0">
                  <c:v>Mobile Shops</c:v>
                </c:pt>
              </c:strCache>
            </c:strRef>
          </c:tx>
          <c:spPr>
            <a:solidFill>
              <a:schemeClr val="accent3"/>
            </a:solidFill>
            <a:ln>
              <a:noFill/>
            </a:ln>
            <a:effectLst/>
          </c:spPr>
          <c:invertIfNegative val="0"/>
          <c:val>
            <c:numRef>
              <c:f>'2. Inputs'!$D$82:$AA$82</c:f>
              <c:numCache>
                <c:formatCode>General</c:formatCode>
                <c:ptCount val="24"/>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1</c:v>
                </c:pt>
                <c:pt idx="16">
                  <c:v>1</c:v>
                </c:pt>
                <c:pt idx="17">
                  <c:v>1</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4-2814-4E64-860A-EC236D143703}"/>
            </c:ext>
          </c:extLst>
        </c:ser>
        <c:ser>
          <c:idx val="3"/>
          <c:order val="3"/>
          <c:tx>
            <c:strRef>
              <c:f>'2. Inputs'!$C$83</c:f>
              <c:strCache>
                <c:ptCount val="1"/>
                <c:pt idx="0">
                  <c:v>Bakery Udhyog</c:v>
                </c:pt>
              </c:strCache>
            </c:strRef>
          </c:tx>
          <c:spPr>
            <a:solidFill>
              <a:schemeClr val="accent4"/>
            </a:solidFill>
            <a:ln>
              <a:noFill/>
            </a:ln>
            <a:effectLst/>
          </c:spPr>
          <c:invertIfNegative val="0"/>
          <c:val>
            <c:numRef>
              <c:f>'2. Inputs'!$D$83:$AA$83</c:f>
              <c:numCache>
                <c:formatCode>General</c:formatCode>
                <c:ptCount val="24"/>
                <c:pt idx="0">
                  <c:v>0</c:v>
                </c:pt>
                <c:pt idx="1">
                  <c:v>0</c:v>
                </c:pt>
                <c:pt idx="2">
                  <c:v>0</c:v>
                </c:pt>
                <c:pt idx="3">
                  <c:v>0</c:v>
                </c:pt>
                <c:pt idx="4">
                  <c:v>1</c:v>
                </c:pt>
                <c:pt idx="5">
                  <c:v>1</c:v>
                </c:pt>
                <c:pt idx="6">
                  <c:v>1</c:v>
                </c:pt>
                <c:pt idx="7">
                  <c:v>1</c:v>
                </c:pt>
                <c:pt idx="8">
                  <c:v>1</c:v>
                </c:pt>
                <c:pt idx="9">
                  <c:v>0</c:v>
                </c:pt>
                <c:pt idx="10">
                  <c:v>0</c:v>
                </c:pt>
                <c:pt idx="11">
                  <c:v>0</c:v>
                </c:pt>
                <c:pt idx="12">
                  <c:v>0</c:v>
                </c:pt>
                <c:pt idx="13">
                  <c:v>0</c:v>
                </c:pt>
                <c:pt idx="14">
                  <c:v>0</c:v>
                </c:pt>
                <c:pt idx="15">
                  <c:v>0</c:v>
                </c:pt>
                <c:pt idx="16">
                  <c:v>0</c:v>
                </c:pt>
                <c:pt idx="17">
                  <c:v>0</c:v>
                </c:pt>
                <c:pt idx="18">
                  <c:v>1</c:v>
                </c:pt>
                <c:pt idx="19">
                  <c:v>1</c:v>
                </c:pt>
                <c:pt idx="20">
                  <c:v>1</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5-2814-4E64-860A-EC236D143703}"/>
            </c:ext>
          </c:extLst>
        </c:ser>
        <c:ser>
          <c:idx val="4"/>
          <c:order val="4"/>
          <c:tx>
            <c:strRef>
              <c:f>'2. Inputs'!$C$84</c:f>
              <c:strCache>
                <c:ptCount val="1"/>
                <c:pt idx="0">
                  <c:v>Grill Udhyog</c:v>
                </c:pt>
              </c:strCache>
            </c:strRef>
          </c:tx>
          <c:spPr>
            <a:solidFill>
              <a:schemeClr val="accent5"/>
            </a:solidFill>
            <a:ln>
              <a:noFill/>
            </a:ln>
            <a:effectLst/>
          </c:spPr>
          <c:invertIfNegative val="0"/>
          <c:val>
            <c:numRef>
              <c:f>'2. Inputs'!$D$84:$AA$84</c:f>
              <c:numCache>
                <c:formatCode>General</c:formatCode>
                <c:ptCount val="24"/>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6-2814-4E64-860A-EC236D143703}"/>
            </c:ext>
          </c:extLst>
        </c:ser>
        <c:ser>
          <c:idx val="5"/>
          <c:order val="5"/>
          <c:tx>
            <c:strRef>
              <c:f>'2. Inputs'!$C$85</c:f>
              <c:strCache>
                <c:ptCount val="1"/>
                <c:pt idx="0">
                  <c:v>Poultary Farm</c:v>
                </c:pt>
              </c:strCache>
            </c:strRef>
          </c:tx>
          <c:spPr>
            <a:solidFill>
              <a:schemeClr val="accent6"/>
            </a:solidFill>
            <a:ln>
              <a:noFill/>
            </a:ln>
            <a:effectLst/>
          </c:spPr>
          <c:invertIfNegative val="0"/>
          <c:val>
            <c:numRef>
              <c:f>'2. Inputs'!$D$85:$AA$85</c:f>
              <c:numCache>
                <c:formatCode>General</c:formatCode>
                <c:ptCount val="24"/>
                <c:pt idx="0">
                  <c:v>1</c:v>
                </c:pt>
                <c:pt idx="1">
                  <c:v>1</c:v>
                </c:pt>
                <c:pt idx="2">
                  <c:v>1</c:v>
                </c:pt>
                <c:pt idx="3">
                  <c:v>1</c:v>
                </c:pt>
                <c:pt idx="4">
                  <c:v>1</c:v>
                </c:pt>
                <c:pt idx="5">
                  <c:v>1</c:v>
                </c:pt>
                <c:pt idx="6">
                  <c:v>1</c:v>
                </c:pt>
                <c:pt idx="7">
                  <c:v>1</c:v>
                </c:pt>
                <c:pt idx="8">
                  <c:v>0</c:v>
                </c:pt>
                <c:pt idx="9">
                  <c:v>0</c:v>
                </c:pt>
                <c:pt idx="10">
                  <c:v>0</c:v>
                </c:pt>
                <c:pt idx="11">
                  <c:v>0</c:v>
                </c:pt>
                <c:pt idx="12">
                  <c:v>0</c:v>
                </c:pt>
                <c:pt idx="13">
                  <c:v>0</c:v>
                </c:pt>
                <c:pt idx="14">
                  <c:v>0</c:v>
                </c:pt>
                <c:pt idx="15">
                  <c:v>0</c:v>
                </c:pt>
                <c:pt idx="16">
                  <c:v>0</c:v>
                </c:pt>
                <c:pt idx="17">
                  <c:v>0</c:v>
                </c:pt>
                <c:pt idx="18">
                  <c:v>1</c:v>
                </c:pt>
                <c:pt idx="19">
                  <c:v>1</c:v>
                </c:pt>
                <c:pt idx="20">
                  <c:v>1</c:v>
                </c:pt>
                <c:pt idx="21">
                  <c:v>1</c:v>
                </c:pt>
                <c:pt idx="22">
                  <c:v>1</c:v>
                </c:pt>
                <c:pt idx="23">
                  <c:v>1</c:v>
                </c:pt>
              </c:numCache>
            </c:numRef>
          </c:val>
          <c:extLst>
            <c:ext xmlns:c15="http://schemas.microsoft.com/office/drawing/2012/chart" uri="{02D57815-91ED-43cb-92C2-25804820EDAC}">
              <c15:filteredCategoryTitle>
                <c15:cat>
                  <c:strRef>
                    <c:extLst>
                      <c:ext uri="{02D57815-91ED-43cb-92C2-25804820EDAC}">
                        <c15:formulaRef>
                          <c15:sqref>'2. Inputs'!$D$75:$AA$75</c15:sqref>
                        </c15:formulaRef>
                      </c:ext>
                    </c:extLst>
                    <c:strCache>
                      <c:ptCount val="24"/>
                      <c:pt idx="0">
                        <c:v>0-1</c:v>
                      </c:pt>
                      <c:pt idx="1">
                        <c:v>1-2</c:v>
                      </c:pt>
                      <c:pt idx="2">
                        <c:v>2-3</c:v>
                      </c:pt>
                      <c:pt idx="3">
                        <c:v>3-4</c:v>
                      </c:pt>
                      <c:pt idx="4">
                        <c:v>4-5</c:v>
                      </c:pt>
                      <c:pt idx="5">
                        <c:v>5-6</c:v>
                      </c:pt>
                      <c:pt idx="6">
                        <c:v>6-7</c:v>
                      </c:pt>
                      <c:pt idx="7">
                        <c:v>7-8</c:v>
                      </c:pt>
                      <c:pt idx="8">
                        <c:v>8-9</c:v>
                      </c:pt>
                      <c:pt idx="9">
                        <c:v>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23-0</c:v>
                      </c:pt>
                    </c:strCache>
                  </c:strRef>
                </c15:cat>
              </c15:filteredCategoryTitle>
            </c:ext>
            <c:ext xmlns:c16="http://schemas.microsoft.com/office/drawing/2014/chart" uri="{C3380CC4-5D6E-409C-BE32-E72D297353CC}">
              <c16:uniqueId val="{00000007-2814-4E64-860A-EC236D143703}"/>
            </c:ext>
          </c:extLst>
        </c:ser>
        <c:ser>
          <c:idx val="6"/>
          <c:order val="6"/>
          <c:tx>
            <c:strRef>
              <c:f>'2. Inputs'!$C$76</c:f>
              <c:strCache>
                <c:ptCount val="1"/>
                <c:pt idx="0">
                  <c:v>Household loads</c:v>
                </c:pt>
              </c:strCache>
            </c:strRef>
          </c:tx>
          <c:spPr>
            <a:solidFill>
              <a:schemeClr val="accent1">
                <a:lumMod val="60000"/>
              </a:schemeClr>
            </a:solidFill>
            <a:ln>
              <a:noFill/>
            </a:ln>
            <a:effectLst/>
          </c:spPr>
          <c:invertIfNegative val="0"/>
          <c:val>
            <c:numRef>
              <c:f>'2. Inputs'!$D$76:$AA$76</c:f>
              <c:numCache>
                <c:formatCode>General</c:formatCode>
                <c:ptCount val="24"/>
                <c:pt idx="0">
                  <c:v>0</c:v>
                </c:pt>
                <c:pt idx="1">
                  <c:v>0</c:v>
                </c:pt>
                <c:pt idx="2">
                  <c:v>0</c:v>
                </c:pt>
                <c:pt idx="3">
                  <c:v>1</c:v>
                </c:pt>
                <c:pt idx="4">
                  <c:v>1</c:v>
                </c:pt>
                <c:pt idx="5">
                  <c:v>1</c:v>
                </c:pt>
                <c:pt idx="6">
                  <c:v>1</c:v>
                </c:pt>
                <c:pt idx="7">
                  <c:v>0</c:v>
                </c:pt>
                <c:pt idx="8">
                  <c:v>0</c:v>
                </c:pt>
                <c:pt idx="9">
                  <c:v>0</c:v>
                </c:pt>
                <c:pt idx="10">
                  <c:v>0</c:v>
                </c:pt>
                <c:pt idx="11">
                  <c:v>0</c:v>
                </c:pt>
                <c:pt idx="12">
                  <c:v>0</c:v>
                </c:pt>
                <c:pt idx="13">
                  <c:v>0</c:v>
                </c:pt>
                <c:pt idx="14">
                  <c:v>0</c:v>
                </c:pt>
                <c:pt idx="15">
                  <c:v>0</c:v>
                </c:pt>
                <c:pt idx="16">
                  <c:v>0</c:v>
                </c:pt>
                <c:pt idx="17">
                  <c:v>1</c:v>
                </c:pt>
                <c:pt idx="18">
                  <c:v>1</c:v>
                </c:pt>
                <c:pt idx="19">
                  <c:v>1</c:v>
                </c:pt>
                <c:pt idx="20">
                  <c:v>1</c:v>
                </c:pt>
                <c:pt idx="21">
                  <c:v>1</c:v>
                </c:pt>
                <c:pt idx="22">
                  <c:v>1</c:v>
                </c:pt>
                <c:pt idx="23">
                  <c:v>0</c:v>
                </c:pt>
              </c:numCache>
            </c:numRef>
          </c:val>
          <c:extLst>
            <c:ext xmlns:c16="http://schemas.microsoft.com/office/drawing/2014/chart" uri="{C3380CC4-5D6E-409C-BE32-E72D297353CC}">
              <c16:uniqueId val="{00000008-2814-4E64-860A-EC236D143703}"/>
            </c:ext>
          </c:extLst>
        </c:ser>
        <c:ser>
          <c:idx val="7"/>
          <c:order val="7"/>
          <c:tx>
            <c:strRef>
              <c:f>'2. Inputs'!$C$79</c:f>
              <c:strCache>
                <c:ptCount val="1"/>
                <c:pt idx="0">
                  <c:v>Healthpost</c:v>
                </c:pt>
              </c:strCache>
            </c:strRef>
          </c:tx>
          <c:spPr>
            <a:solidFill>
              <a:schemeClr val="accent2">
                <a:lumMod val="60000"/>
              </a:schemeClr>
            </a:solidFill>
            <a:ln>
              <a:noFill/>
            </a:ln>
            <a:effectLst/>
          </c:spPr>
          <c:invertIfNegative val="0"/>
          <c:val>
            <c:numRef>
              <c:f>'2. Inputs'!$D$79:$AA$79</c:f>
              <c:numCache>
                <c:formatCode>General</c:formatCode>
                <c:ptCount val="24"/>
                <c:pt idx="0">
                  <c:v>0</c:v>
                </c:pt>
                <c:pt idx="1">
                  <c:v>0</c:v>
                </c:pt>
                <c:pt idx="2">
                  <c:v>0</c:v>
                </c:pt>
                <c:pt idx="3">
                  <c:v>0</c:v>
                </c:pt>
                <c:pt idx="4">
                  <c:v>0</c:v>
                </c:pt>
                <c:pt idx="5">
                  <c:v>0</c:v>
                </c:pt>
                <c:pt idx="6">
                  <c:v>0</c:v>
                </c:pt>
                <c:pt idx="7">
                  <c:v>0</c:v>
                </c:pt>
                <c:pt idx="8">
                  <c:v>0</c:v>
                </c:pt>
                <c:pt idx="9">
                  <c:v>1</c:v>
                </c:pt>
                <c:pt idx="10">
                  <c:v>1</c:v>
                </c:pt>
                <c:pt idx="11">
                  <c:v>1</c:v>
                </c:pt>
                <c:pt idx="12">
                  <c:v>1</c:v>
                </c:pt>
                <c:pt idx="13">
                  <c:v>1</c:v>
                </c:pt>
                <c:pt idx="14">
                  <c:v>1</c:v>
                </c:pt>
                <c:pt idx="15">
                  <c:v>1</c:v>
                </c:pt>
                <c:pt idx="16">
                  <c:v>1</c:v>
                </c:pt>
                <c:pt idx="17">
                  <c:v>1</c:v>
                </c:pt>
                <c:pt idx="18">
                  <c:v>0</c:v>
                </c:pt>
                <c:pt idx="19">
                  <c:v>0</c:v>
                </c:pt>
                <c:pt idx="20">
                  <c:v>0</c:v>
                </c:pt>
                <c:pt idx="21">
                  <c:v>0</c:v>
                </c:pt>
                <c:pt idx="22">
                  <c:v>0</c:v>
                </c:pt>
                <c:pt idx="23">
                  <c:v>0</c:v>
                </c:pt>
              </c:numCache>
            </c:numRef>
          </c:val>
          <c:extLst>
            <c:ext xmlns:c16="http://schemas.microsoft.com/office/drawing/2014/chart" uri="{C3380CC4-5D6E-409C-BE32-E72D297353CC}">
              <c16:uniqueId val="{00000009-2814-4E64-860A-EC236D143703}"/>
            </c:ext>
          </c:extLst>
        </c:ser>
        <c:ser>
          <c:idx val="8"/>
          <c:order val="8"/>
          <c:tx>
            <c:strRef>
              <c:f>'2. Inputs'!$C$80</c:f>
              <c:strCache>
                <c:ptCount val="1"/>
                <c:pt idx="0">
                  <c:v>Schools</c:v>
                </c:pt>
              </c:strCache>
            </c:strRef>
          </c:tx>
          <c:spPr>
            <a:solidFill>
              <a:schemeClr val="accent3">
                <a:lumMod val="60000"/>
              </a:schemeClr>
            </a:solidFill>
            <a:ln>
              <a:noFill/>
            </a:ln>
            <a:effectLst/>
          </c:spPr>
          <c:invertIfNegative val="0"/>
          <c:val>
            <c:numRef>
              <c:f>'2. Inputs'!$D$80:$AA$80</c:f>
              <c:numCache>
                <c:formatCode>General</c:formatCode>
                <c:ptCount val="24"/>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1</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A-2814-4E64-860A-EC236D143703}"/>
            </c:ext>
          </c:extLst>
        </c:ser>
        <c:ser>
          <c:idx val="9"/>
          <c:order val="9"/>
          <c:tx>
            <c:strRef>
              <c:f>'2. Inputs'!$C$81</c:f>
              <c:strCache>
                <c:ptCount val="1"/>
                <c:pt idx="0">
                  <c:v>Street Lights</c:v>
                </c:pt>
              </c:strCache>
            </c:strRef>
          </c:tx>
          <c:spPr>
            <a:solidFill>
              <a:schemeClr val="accent4">
                <a:lumMod val="60000"/>
              </a:schemeClr>
            </a:solidFill>
            <a:ln>
              <a:noFill/>
            </a:ln>
            <a:effectLst/>
          </c:spPr>
          <c:invertIfNegative val="0"/>
          <c:val>
            <c:numRef>
              <c:f>'2. Inputs'!$D$81:$AA$81</c:f>
              <c:numCache>
                <c:formatCode>General</c:formatCode>
                <c:ptCount val="24"/>
                <c:pt idx="0">
                  <c:v>1</c:v>
                </c:pt>
                <c:pt idx="1">
                  <c:v>1</c:v>
                </c:pt>
                <c:pt idx="2">
                  <c:v>1</c:v>
                </c:pt>
                <c:pt idx="3">
                  <c:v>1</c:v>
                </c:pt>
                <c:pt idx="4">
                  <c:v>1</c:v>
                </c:pt>
                <c:pt idx="5">
                  <c:v>1</c:v>
                </c:pt>
                <c:pt idx="6">
                  <c:v>0</c:v>
                </c:pt>
                <c:pt idx="7">
                  <c:v>0</c:v>
                </c:pt>
                <c:pt idx="8">
                  <c:v>0</c:v>
                </c:pt>
                <c:pt idx="9">
                  <c:v>0</c:v>
                </c:pt>
                <c:pt idx="10">
                  <c:v>0</c:v>
                </c:pt>
                <c:pt idx="11">
                  <c:v>0</c:v>
                </c:pt>
                <c:pt idx="12">
                  <c:v>0</c:v>
                </c:pt>
                <c:pt idx="13">
                  <c:v>0</c:v>
                </c:pt>
                <c:pt idx="14">
                  <c:v>0</c:v>
                </c:pt>
                <c:pt idx="15">
                  <c:v>0</c:v>
                </c:pt>
                <c:pt idx="16">
                  <c:v>0</c:v>
                </c:pt>
                <c:pt idx="17">
                  <c:v>0</c:v>
                </c:pt>
                <c:pt idx="18">
                  <c:v>1</c:v>
                </c:pt>
                <c:pt idx="19">
                  <c:v>1</c:v>
                </c:pt>
                <c:pt idx="20">
                  <c:v>1</c:v>
                </c:pt>
                <c:pt idx="21">
                  <c:v>1</c:v>
                </c:pt>
                <c:pt idx="22">
                  <c:v>1</c:v>
                </c:pt>
                <c:pt idx="23">
                  <c:v>1</c:v>
                </c:pt>
              </c:numCache>
            </c:numRef>
          </c:val>
          <c:extLst>
            <c:ext xmlns:c16="http://schemas.microsoft.com/office/drawing/2014/chart" uri="{C3380CC4-5D6E-409C-BE32-E72D297353CC}">
              <c16:uniqueId val="{0000000B-2814-4E64-860A-EC236D143703}"/>
            </c:ext>
          </c:extLst>
        </c:ser>
        <c:dLbls>
          <c:showLegendKey val="0"/>
          <c:showVal val="0"/>
          <c:showCatName val="0"/>
          <c:showSerName val="0"/>
          <c:showPercent val="0"/>
          <c:showBubbleSize val="0"/>
        </c:dLbls>
        <c:gapWidth val="219"/>
        <c:overlap val="100"/>
        <c:axId val="1825779663"/>
        <c:axId val="1838143775"/>
      </c:barChart>
      <c:catAx>
        <c:axId val="1825779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r>
                  <a:rPr lang="en-GB" baseline="0"/>
                  <a:t> of day</a:t>
                </a:r>
                <a:endParaRPr lang="en-GB"/>
              </a:p>
            </c:rich>
          </c:tx>
          <c:layout>
            <c:manualLayout>
              <c:xMode val="edge"/>
              <c:yMode val="edge"/>
              <c:x val="0.4267216074130592"/>
              <c:y val="0.916363919856552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43775"/>
        <c:crosses val="autoZero"/>
        <c:auto val="1"/>
        <c:lblAlgn val="ctr"/>
        <c:lblOffset val="100"/>
        <c:noMultiLvlLbl val="0"/>
      </c:catAx>
      <c:valAx>
        <c:axId val="1838143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kW</a:t>
                </a:r>
              </a:p>
            </c:rich>
          </c:tx>
          <c:layout>
            <c:manualLayout>
              <c:xMode val="edge"/>
              <c:yMode val="edge"/>
              <c:x val="4.1564955810816166E-4"/>
              <c:y val="0.429536740006264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779663"/>
        <c:crosses val="autoZero"/>
        <c:crossBetween val="between"/>
      </c:valAx>
      <c:spPr>
        <a:noFill/>
        <a:ln>
          <a:noFill/>
        </a:ln>
        <a:effectLst/>
      </c:spPr>
    </c:plotArea>
    <c:legend>
      <c:legendPos val="r"/>
      <c:layout>
        <c:manualLayout>
          <c:xMode val="edge"/>
          <c:yMode val="edge"/>
          <c:x val="0.82236327232650408"/>
          <c:y val="9.1465171791797625E-2"/>
          <c:w val="0.17500524742026874"/>
          <c:h val="0.859152112158819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Km/Conn</a:t>
            </a:r>
          </a:p>
        </c:rich>
      </c:tx>
      <c:layout>
        <c:manualLayout>
          <c:xMode val="edge"/>
          <c:yMode val="edge"/>
          <c:x val="0.42427212858292745"/>
          <c:y val="0"/>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658029930517866"/>
          <c:y val="0.12487132606886289"/>
          <c:w val="0.79811955170121129"/>
          <c:h val="0.76967015503863878"/>
        </c:manualLayout>
      </c:layout>
      <c:scatterChart>
        <c:scatterStyle val="lineMarker"/>
        <c:varyColors val="0"/>
        <c:ser>
          <c:idx val="0"/>
          <c:order val="0"/>
          <c:tx>
            <c:strRef>
              <c:f>'Backend Design '!$S$86</c:f>
              <c:strCache>
                <c:ptCount val="1"/>
                <c:pt idx="0">
                  <c:v>Km/Conn</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3.4958163985253053E-2"/>
                  <c:y val="-6.193063442134075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log"/>
            <c:dispRSqr val="0"/>
            <c:dispEq val="1"/>
            <c:trendlineLbl>
              <c:layout>
                <c:manualLayout>
                  <c:x val="-2.1571562015113208E-2"/>
                  <c:y val="8.501476105551135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'Backend Design '!$D$77:$D$101</c:f>
              <c:numCache>
                <c:formatCode>0.0</c:formatCode>
                <c:ptCount val="25"/>
                <c:pt idx="0">
                  <c:v>700</c:v>
                </c:pt>
                <c:pt idx="1">
                  <c:v>466</c:v>
                </c:pt>
                <c:pt idx="2">
                  <c:v>280</c:v>
                </c:pt>
                <c:pt idx="3">
                  <c:v>175</c:v>
                </c:pt>
                <c:pt idx="4">
                  <c:v>160</c:v>
                </c:pt>
                <c:pt idx="5">
                  <c:v>151</c:v>
                </c:pt>
                <c:pt idx="6">
                  <c:v>140</c:v>
                </c:pt>
                <c:pt idx="7">
                  <c:v>139</c:v>
                </c:pt>
                <c:pt idx="8">
                  <c:v>95</c:v>
                </c:pt>
                <c:pt idx="9">
                  <c:v>80</c:v>
                </c:pt>
                <c:pt idx="10">
                  <c:v>66</c:v>
                </c:pt>
                <c:pt idx="11">
                  <c:v>65</c:v>
                </c:pt>
                <c:pt idx="12">
                  <c:v>60</c:v>
                </c:pt>
                <c:pt idx="13">
                  <c:v>55</c:v>
                </c:pt>
                <c:pt idx="14">
                  <c:v>53</c:v>
                </c:pt>
                <c:pt idx="15">
                  <c:v>52</c:v>
                </c:pt>
                <c:pt idx="16">
                  <c:v>39</c:v>
                </c:pt>
                <c:pt idx="17">
                  <c:v>38</c:v>
                </c:pt>
                <c:pt idx="18">
                  <c:v>35</c:v>
                </c:pt>
                <c:pt idx="19">
                  <c:v>32</c:v>
                </c:pt>
                <c:pt idx="20">
                  <c:v>18</c:v>
                </c:pt>
                <c:pt idx="21">
                  <c:v>15</c:v>
                </c:pt>
              </c:numCache>
            </c:numRef>
          </c:xVal>
          <c:yVal>
            <c:numRef>
              <c:f>'Backend Design '!$E$77:$E$101</c:f>
              <c:numCache>
                <c:formatCode>0.0</c:formatCode>
                <c:ptCount val="25"/>
                <c:pt idx="0">
                  <c:v>40</c:v>
                </c:pt>
                <c:pt idx="1">
                  <c:v>37</c:v>
                </c:pt>
                <c:pt idx="2">
                  <c:v>36</c:v>
                </c:pt>
                <c:pt idx="3">
                  <c:v>16</c:v>
                </c:pt>
                <c:pt idx="4">
                  <c:v>32</c:v>
                </c:pt>
                <c:pt idx="5">
                  <c:v>13</c:v>
                </c:pt>
                <c:pt idx="6">
                  <c:v>18</c:v>
                </c:pt>
                <c:pt idx="7">
                  <c:v>15</c:v>
                </c:pt>
                <c:pt idx="8">
                  <c:v>2</c:v>
                </c:pt>
                <c:pt idx="9">
                  <c:v>9</c:v>
                </c:pt>
                <c:pt idx="10">
                  <c:v>10</c:v>
                </c:pt>
                <c:pt idx="11">
                  <c:v>3.2</c:v>
                </c:pt>
                <c:pt idx="12">
                  <c:v>12.5</c:v>
                </c:pt>
                <c:pt idx="13">
                  <c:v>2</c:v>
                </c:pt>
                <c:pt idx="14">
                  <c:v>3</c:v>
                </c:pt>
                <c:pt idx="15">
                  <c:v>5</c:v>
                </c:pt>
                <c:pt idx="16">
                  <c:v>1.6</c:v>
                </c:pt>
                <c:pt idx="17">
                  <c:v>1</c:v>
                </c:pt>
                <c:pt idx="18">
                  <c:v>6</c:v>
                </c:pt>
                <c:pt idx="19">
                  <c:v>2</c:v>
                </c:pt>
                <c:pt idx="20">
                  <c:v>1</c:v>
                </c:pt>
                <c:pt idx="21">
                  <c:v>1.45</c:v>
                </c:pt>
              </c:numCache>
            </c:numRef>
          </c:yVal>
          <c:smooth val="0"/>
          <c:extLst>
            <c:ext xmlns:c16="http://schemas.microsoft.com/office/drawing/2014/chart" uri="{C3380CC4-5D6E-409C-BE32-E72D297353CC}">
              <c16:uniqueId val="{00000002-AE7C-43AC-B9D8-84B089A2DA69}"/>
            </c:ext>
          </c:extLst>
        </c:ser>
        <c:dLbls>
          <c:showLegendKey val="0"/>
          <c:showVal val="0"/>
          <c:showCatName val="0"/>
          <c:showSerName val="0"/>
          <c:showPercent val="0"/>
          <c:showBubbleSize val="0"/>
        </c:dLbls>
        <c:axId val="610490384"/>
        <c:axId val="408909840"/>
        <c:extLst>
          <c:ext xmlns:c15="http://schemas.microsoft.com/office/drawing/2012/chart" uri="{02D57815-91ED-43cb-92C2-25804820EDAC}">
            <c15:filteredScatterSeries>
              <c15:ser>
                <c:idx val="4"/>
                <c:order val="1"/>
                <c:tx>
                  <c:strRef>
                    <c:extLst>
                      <c:ext uri="{02D57815-91ED-43cb-92C2-25804820EDAC}">
                        <c15:formulaRef>
                          <c15:sqref>'Backend Design '!$F$76</c15:sqref>
                        </c15:formulaRef>
                      </c:ext>
                    </c:extLst>
                    <c:strCache>
                      <c:ptCount val="1"/>
                      <c:pt idx="0">
                        <c:v>Conn/km</c:v>
                      </c:pt>
                    </c:strCache>
                  </c:strRef>
                </c:tx>
                <c:spPr>
                  <a:ln w="25400" cap="rnd">
                    <a:noFill/>
                    <a:round/>
                  </a:ln>
                  <a:effectLst/>
                </c:spPr>
                <c:marker>
                  <c:symbol val="circle"/>
                  <c:size val="5"/>
                  <c:spPr>
                    <a:solidFill>
                      <a:schemeClr val="accent5"/>
                    </a:solidFill>
                    <a:ln w="9525">
                      <a:solidFill>
                        <a:schemeClr val="accent5"/>
                      </a:solidFill>
                    </a:ln>
                    <a:effectLst/>
                  </c:spPr>
                </c:marker>
                <c:xVal>
                  <c:numRef>
                    <c:extLst>
                      <c:ext uri="{02D57815-91ED-43cb-92C2-25804820EDAC}">
                        <c15:formulaRef>
                          <c15:sqref>('Backend Design '!$E$77:$E$82,'Backend Design '!$E$83:$E$92,'Backend Design '!$E$93:$E$99)</c15:sqref>
                        </c15:formulaRef>
                      </c:ext>
                    </c:extLst>
                    <c:numCache>
                      <c:formatCode>0.0</c:formatCode>
                      <c:ptCount val="23"/>
                      <c:pt idx="0">
                        <c:v>40</c:v>
                      </c:pt>
                      <c:pt idx="1">
                        <c:v>37</c:v>
                      </c:pt>
                      <c:pt idx="2">
                        <c:v>36</c:v>
                      </c:pt>
                      <c:pt idx="3">
                        <c:v>16</c:v>
                      </c:pt>
                      <c:pt idx="4">
                        <c:v>32</c:v>
                      </c:pt>
                      <c:pt idx="5">
                        <c:v>13</c:v>
                      </c:pt>
                      <c:pt idx="6">
                        <c:v>18</c:v>
                      </c:pt>
                      <c:pt idx="7">
                        <c:v>15</c:v>
                      </c:pt>
                      <c:pt idx="8">
                        <c:v>2</c:v>
                      </c:pt>
                      <c:pt idx="9">
                        <c:v>9</c:v>
                      </c:pt>
                      <c:pt idx="10">
                        <c:v>10</c:v>
                      </c:pt>
                      <c:pt idx="11">
                        <c:v>3.2</c:v>
                      </c:pt>
                      <c:pt idx="12">
                        <c:v>12.5</c:v>
                      </c:pt>
                      <c:pt idx="13">
                        <c:v>2</c:v>
                      </c:pt>
                      <c:pt idx="14">
                        <c:v>3</c:v>
                      </c:pt>
                      <c:pt idx="15">
                        <c:v>5</c:v>
                      </c:pt>
                      <c:pt idx="16">
                        <c:v>1.6</c:v>
                      </c:pt>
                      <c:pt idx="17">
                        <c:v>1</c:v>
                      </c:pt>
                      <c:pt idx="18">
                        <c:v>6</c:v>
                      </c:pt>
                      <c:pt idx="19">
                        <c:v>2</c:v>
                      </c:pt>
                      <c:pt idx="20">
                        <c:v>1</c:v>
                      </c:pt>
                      <c:pt idx="21">
                        <c:v>1.45</c:v>
                      </c:pt>
                    </c:numCache>
                  </c:numRef>
                </c:xVal>
                <c:yVal>
                  <c:numRef>
                    <c:extLst>
                      <c:ext uri="{02D57815-91ED-43cb-92C2-25804820EDAC}">
                        <c15:formulaRef>
                          <c15:sqref>('Backend Design '!$F$77:$F$82,'Backend Design '!$F$83:$F$92,'Backend Design '!$F$93:$F$99)</c15:sqref>
                        </c15:formulaRef>
                      </c:ext>
                    </c:extLst>
                    <c:numCache>
                      <c:formatCode>0.0</c:formatCode>
                      <c:ptCount val="23"/>
                      <c:pt idx="0">
                        <c:v>17.5</c:v>
                      </c:pt>
                      <c:pt idx="1">
                        <c:v>12.594594594594595</c:v>
                      </c:pt>
                      <c:pt idx="2">
                        <c:v>7.7777777777777777</c:v>
                      </c:pt>
                      <c:pt idx="3">
                        <c:v>10.9375</c:v>
                      </c:pt>
                      <c:pt idx="4">
                        <c:v>5</c:v>
                      </c:pt>
                      <c:pt idx="5">
                        <c:v>11.615384615384615</c:v>
                      </c:pt>
                      <c:pt idx="6">
                        <c:v>7.7777777777777777</c:v>
                      </c:pt>
                      <c:pt idx="7">
                        <c:v>9.2666666666666675</c:v>
                      </c:pt>
                      <c:pt idx="8">
                        <c:v>47.5</c:v>
                      </c:pt>
                      <c:pt idx="9">
                        <c:v>8.8888888888888893</c:v>
                      </c:pt>
                      <c:pt idx="10">
                        <c:v>6.6</c:v>
                      </c:pt>
                      <c:pt idx="11">
                        <c:v>20.3125</c:v>
                      </c:pt>
                      <c:pt idx="12">
                        <c:v>4.8</c:v>
                      </c:pt>
                      <c:pt idx="13">
                        <c:v>27.5</c:v>
                      </c:pt>
                      <c:pt idx="14">
                        <c:v>17.666666666666668</c:v>
                      </c:pt>
                      <c:pt idx="15">
                        <c:v>10.4</c:v>
                      </c:pt>
                      <c:pt idx="16">
                        <c:v>24.375</c:v>
                      </c:pt>
                      <c:pt idx="17">
                        <c:v>38</c:v>
                      </c:pt>
                      <c:pt idx="18">
                        <c:v>5.833333333333333</c:v>
                      </c:pt>
                      <c:pt idx="19">
                        <c:v>16</c:v>
                      </c:pt>
                      <c:pt idx="20">
                        <c:v>18</c:v>
                      </c:pt>
                      <c:pt idx="21">
                        <c:v>10.344827586206897</c:v>
                      </c:pt>
                      <c:pt idx="22">
                        <c:v>0</c:v>
                      </c:pt>
                    </c:numCache>
                  </c:numRef>
                </c:yVal>
                <c:smooth val="0"/>
                <c:extLst>
                  <c:ext xmlns:c16="http://schemas.microsoft.com/office/drawing/2014/chart" uri="{C3380CC4-5D6E-409C-BE32-E72D297353CC}">
                    <c16:uniqueId val="{00000003-AE7C-43AC-B9D8-84B089A2DA69}"/>
                  </c:ext>
                </c:extLst>
              </c15:ser>
            </c15:filteredScatterSeries>
          </c:ext>
        </c:extLst>
      </c:scatterChart>
      <c:valAx>
        <c:axId val="6104903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100" b="1" baseline="0"/>
                  <a:t> Connections </a:t>
                </a:r>
              </a:p>
            </c:rich>
          </c:tx>
          <c:layout>
            <c:manualLayout>
              <c:xMode val="edge"/>
              <c:yMode val="edge"/>
              <c:x val="0.43035126920559841"/>
              <c:y val="0.9341810038765117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909840"/>
        <c:crosses val="autoZero"/>
        <c:crossBetween val="midCat"/>
      </c:valAx>
      <c:valAx>
        <c:axId val="408909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100" b="1"/>
                  <a:t>Cable</a:t>
                </a:r>
                <a:r>
                  <a:rPr lang="en-GB" sz="1100" b="1" baseline="0"/>
                  <a:t> length</a:t>
                </a:r>
              </a:p>
            </c:rich>
          </c:tx>
          <c:layout>
            <c:manualLayout>
              <c:xMode val="edge"/>
              <c:yMode val="edge"/>
              <c:x val="2.2536366953097384E-3"/>
              <c:y val="0.38108252314103785"/>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490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Km/KW</a:t>
            </a:r>
          </a:p>
        </c:rich>
      </c:tx>
      <c:layout>
        <c:manualLayout>
          <c:xMode val="edge"/>
          <c:yMode val="edge"/>
          <c:x val="0.43509597584354248"/>
          <c:y val="0"/>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430619414240424"/>
          <c:y val="0.10728716216953681"/>
          <c:w val="0.77574901228351689"/>
          <c:h val="0.76834326603048753"/>
        </c:manualLayout>
      </c:layout>
      <c:scatterChart>
        <c:scatterStyle val="lineMarker"/>
        <c:varyColors val="0"/>
        <c:ser>
          <c:idx val="0"/>
          <c:order val="0"/>
          <c:tx>
            <c:strRef>
              <c:f>'Backend Design '!$AE$86</c:f>
              <c:strCache>
                <c:ptCount val="1"/>
                <c:pt idx="0">
                  <c:v>Km/KW</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ly"/>
            <c:order val="2"/>
            <c:dispRSqr val="0"/>
            <c:dispEq val="1"/>
            <c:trendlineLbl>
              <c:layout>
                <c:manualLayout>
                  <c:x val="-6.6256582588162236E-2"/>
                  <c:y val="-0.138604549342652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'Backend Design '!$C$77:$C$101</c:f>
              <c:numCache>
                <c:formatCode>0.0</c:formatCode>
                <c:ptCount val="25"/>
                <c:pt idx="0">
                  <c:v>316.8</c:v>
                </c:pt>
                <c:pt idx="1">
                  <c:v>120</c:v>
                </c:pt>
                <c:pt idx="2">
                  <c:v>95</c:v>
                </c:pt>
                <c:pt idx="3">
                  <c:v>50</c:v>
                </c:pt>
                <c:pt idx="4">
                  <c:v>63.6</c:v>
                </c:pt>
                <c:pt idx="5">
                  <c:v>40</c:v>
                </c:pt>
                <c:pt idx="6">
                  <c:v>55.44</c:v>
                </c:pt>
                <c:pt idx="7">
                  <c:v>50</c:v>
                </c:pt>
                <c:pt idx="8">
                  <c:v>40</c:v>
                </c:pt>
                <c:pt idx="9">
                  <c:v>20</c:v>
                </c:pt>
                <c:pt idx="10">
                  <c:v>21.6</c:v>
                </c:pt>
                <c:pt idx="11">
                  <c:v>29.7</c:v>
                </c:pt>
                <c:pt idx="12">
                  <c:v>21.6</c:v>
                </c:pt>
                <c:pt idx="13">
                  <c:v>15</c:v>
                </c:pt>
                <c:pt idx="14">
                  <c:v>15</c:v>
                </c:pt>
                <c:pt idx="15">
                  <c:v>15</c:v>
                </c:pt>
                <c:pt idx="16">
                  <c:v>10</c:v>
                </c:pt>
                <c:pt idx="17">
                  <c:v>15</c:v>
                </c:pt>
                <c:pt idx="18">
                  <c:v>12.32</c:v>
                </c:pt>
                <c:pt idx="19">
                  <c:v>10</c:v>
                </c:pt>
                <c:pt idx="20">
                  <c:v>6.4</c:v>
                </c:pt>
                <c:pt idx="21">
                  <c:v>10.5</c:v>
                </c:pt>
              </c:numCache>
            </c:numRef>
          </c:xVal>
          <c:yVal>
            <c:numRef>
              <c:f>'Backend Design '!$E$77:$E$101</c:f>
              <c:numCache>
                <c:formatCode>0.0</c:formatCode>
                <c:ptCount val="25"/>
                <c:pt idx="0">
                  <c:v>40</c:v>
                </c:pt>
                <c:pt idx="1">
                  <c:v>37</c:v>
                </c:pt>
                <c:pt idx="2">
                  <c:v>36</c:v>
                </c:pt>
                <c:pt idx="3">
                  <c:v>16</c:v>
                </c:pt>
                <c:pt idx="4">
                  <c:v>32</c:v>
                </c:pt>
                <c:pt idx="5">
                  <c:v>13</c:v>
                </c:pt>
                <c:pt idx="6">
                  <c:v>18</c:v>
                </c:pt>
                <c:pt idx="7">
                  <c:v>15</c:v>
                </c:pt>
                <c:pt idx="8">
                  <c:v>2</c:v>
                </c:pt>
                <c:pt idx="9">
                  <c:v>9</c:v>
                </c:pt>
                <c:pt idx="10">
                  <c:v>10</c:v>
                </c:pt>
                <c:pt idx="11">
                  <c:v>3.2</c:v>
                </c:pt>
                <c:pt idx="12">
                  <c:v>12.5</c:v>
                </c:pt>
                <c:pt idx="13">
                  <c:v>2</c:v>
                </c:pt>
                <c:pt idx="14">
                  <c:v>3</c:v>
                </c:pt>
                <c:pt idx="15">
                  <c:v>5</c:v>
                </c:pt>
                <c:pt idx="16">
                  <c:v>1.6</c:v>
                </c:pt>
                <c:pt idx="17">
                  <c:v>1</c:v>
                </c:pt>
                <c:pt idx="18">
                  <c:v>6</c:v>
                </c:pt>
                <c:pt idx="19">
                  <c:v>2</c:v>
                </c:pt>
                <c:pt idx="20">
                  <c:v>1</c:v>
                </c:pt>
                <c:pt idx="21">
                  <c:v>1.45</c:v>
                </c:pt>
              </c:numCache>
            </c:numRef>
          </c:yVal>
          <c:smooth val="0"/>
          <c:extLst>
            <c:ext xmlns:c16="http://schemas.microsoft.com/office/drawing/2014/chart" uri="{C3380CC4-5D6E-409C-BE32-E72D297353CC}">
              <c16:uniqueId val="{00000002-E7D6-42A7-B70E-76AD75F18DB4}"/>
            </c:ext>
          </c:extLst>
        </c:ser>
        <c:dLbls>
          <c:showLegendKey val="0"/>
          <c:showVal val="0"/>
          <c:showCatName val="0"/>
          <c:showSerName val="0"/>
          <c:showPercent val="0"/>
          <c:showBubbleSize val="0"/>
        </c:dLbls>
        <c:axId val="610490384"/>
        <c:axId val="408909840"/>
        <c:extLst>
          <c:ext xmlns:c15="http://schemas.microsoft.com/office/drawing/2012/chart" uri="{02D57815-91ED-43cb-92C2-25804820EDAC}">
            <c15:filteredScatterSeries>
              <c15:ser>
                <c:idx val="4"/>
                <c:order val="1"/>
                <c:tx>
                  <c:strRef>
                    <c:extLst>
                      <c:ext uri="{02D57815-91ED-43cb-92C2-25804820EDAC}">
                        <c15:formulaRef>
                          <c15:sqref>'Backend Design '!$F$76</c15:sqref>
                        </c15:formulaRef>
                      </c:ext>
                    </c:extLst>
                    <c:strCache>
                      <c:ptCount val="1"/>
                      <c:pt idx="0">
                        <c:v>Conn/km</c:v>
                      </c:pt>
                    </c:strCache>
                  </c:strRef>
                </c:tx>
                <c:spPr>
                  <a:ln w="25400" cap="rnd">
                    <a:noFill/>
                    <a:round/>
                  </a:ln>
                  <a:effectLst/>
                </c:spPr>
                <c:marker>
                  <c:symbol val="circle"/>
                  <c:size val="5"/>
                  <c:spPr>
                    <a:solidFill>
                      <a:schemeClr val="accent5"/>
                    </a:solidFill>
                    <a:ln w="9525">
                      <a:solidFill>
                        <a:schemeClr val="accent5"/>
                      </a:solidFill>
                    </a:ln>
                    <a:effectLst/>
                  </c:spPr>
                </c:marker>
                <c:xVal>
                  <c:numRef>
                    <c:extLst>
                      <c:ext uri="{02D57815-91ED-43cb-92C2-25804820EDAC}">
                        <c15:formulaRef>
                          <c15:sqref>('Backend Design '!$E$77:$E$82,'Backend Design '!$E$83:$E$92,'Backend Design '!$E$93:$E$99)</c15:sqref>
                        </c15:formulaRef>
                      </c:ext>
                    </c:extLst>
                    <c:numCache>
                      <c:formatCode>0.0</c:formatCode>
                      <c:ptCount val="23"/>
                      <c:pt idx="0">
                        <c:v>40</c:v>
                      </c:pt>
                      <c:pt idx="1">
                        <c:v>37</c:v>
                      </c:pt>
                      <c:pt idx="2">
                        <c:v>36</c:v>
                      </c:pt>
                      <c:pt idx="3">
                        <c:v>16</c:v>
                      </c:pt>
                      <c:pt idx="4">
                        <c:v>32</c:v>
                      </c:pt>
                      <c:pt idx="5">
                        <c:v>13</c:v>
                      </c:pt>
                      <c:pt idx="6">
                        <c:v>18</c:v>
                      </c:pt>
                      <c:pt idx="7">
                        <c:v>15</c:v>
                      </c:pt>
                      <c:pt idx="8">
                        <c:v>2</c:v>
                      </c:pt>
                      <c:pt idx="9">
                        <c:v>9</c:v>
                      </c:pt>
                      <c:pt idx="10">
                        <c:v>10</c:v>
                      </c:pt>
                      <c:pt idx="11">
                        <c:v>3.2</c:v>
                      </c:pt>
                      <c:pt idx="12">
                        <c:v>12.5</c:v>
                      </c:pt>
                      <c:pt idx="13">
                        <c:v>2</c:v>
                      </c:pt>
                      <c:pt idx="14">
                        <c:v>3</c:v>
                      </c:pt>
                      <c:pt idx="15">
                        <c:v>5</c:v>
                      </c:pt>
                      <c:pt idx="16">
                        <c:v>1.6</c:v>
                      </c:pt>
                      <c:pt idx="17">
                        <c:v>1</c:v>
                      </c:pt>
                      <c:pt idx="18">
                        <c:v>6</c:v>
                      </c:pt>
                      <c:pt idx="19">
                        <c:v>2</c:v>
                      </c:pt>
                      <c:pt idx="20">
                        <c:v>1</c:v>
                      </c:pt>
                      <c:pt idx="21">
                        <c:v>1.45</c:v>
                      </c:pt>
                    </c:numCache>
                  </c:numRef>
                </c:xVal>
                <c:yVal>
                  <c:numRef>
                    <c:extLst>
                      <c:ext uri="{02D57815-91ED-43cb-92C2-25804820EDAC}">
                        <c15:formulaRef>
                          <c15:sqref>('Backend Design '!$F$77:$F$82,'Backend Design '!$F$83:$F$92,'Backend Design '!$F$93:$F$99)</c15:sqref>
                        </c15:formulaRef>
                      </c:ext>
                    </c:extLst>
                    <c:numCache>
                      <c:formatCode>0.0</c:formatCode>
                      <c:ptCount val="23"/>
                      <c:pt idx="0">
                        <c:v>17.5</c:v>
                      </c:pt>
                      <c:pt idx="1">
                        <c:v>12.594594594594595</c:v>
                      </c:pt>
                      <c:pt idx="2">
                        <c:v>7.7777777777777777</c:v>
                      </c:pt>
                      <c:pt idx="3">
                        <c:v>10.9375</c:v>
                      </c:pt>
                      <c:pt idx="4">
                        <c:v>5</c:v>
                      </c:pt>
                      <c:pt idx="5">
                        <c:v>11.615384615384615</c:v>
                      </c:pt>
                      <c:pt idx="6">
                        <c:v>7.7777777777777777</c:v>
                      </c:pt>
                      <c:pt idx="7">
                        <c:v>9.2666666666666675</c:v>
                      </c:pt>
                      <c:pt idx="8">
                        <c:v>47.5</c:v>
                      </c:pt>
                      <c:pt idx="9">
                        <c:v>8.8888888888888893</c:v>
                      </c:pt>
                      <c:pt idx="10">
                        <c:v>6.6</c:v>
                      </c:pt>
                      <c:pt idx="11">
                        <c:v>20.3125</c:v>
                      </c:pt>
                      <c:pt idx="12">
                        <c:v>4.8</c:v>
                      </c:pt>
                      <c:pt idx="13">
                        <c:v>27.5</c:v>
                      </c:pt>
                      <c:pt idx="14">
                        <c:v>17.666666666666668</c:v>
                      </c:pt>
                      <c:pt idx="15">
                        <c:v>10.4</c:v>
                      </c:pt>
                      <c:pt idx="16">
                        <c:v>24.375</c:v>
                      </c:pt>
                      <c:pt idx="17">
                        <c:v>38</c:v>
                      </c:pt>
                      <c:pt idx="18">
                        <c:v>5.833333333333333</c:v>
                      </c:pt>
                      <c:pt idx="19">
                        <c:v>16</c:v>
                      </c:pt>
                      <c:pt idx="20">
                        <c:v>18</c:v>
                      </c:pt>
                      <c:pt idx="21">
                        <c:v>10.344827586206897</c:v>
                      </c:pt>
                      <c:pt idx="22">
                        <c:v>0</c:v>
                      </c:pt>
                    </c:numCache>
                  </c:numRef>
                </c:yVal>
                <c:smooth val="0"/>
                <c:extLst>
                  <c:ext xmlns:c16="http://schemas.microsoft.com/office/drawing/2014/chart" uri="{C3380CC4-5D6E-409C-BE32-E72D297353CC}">
                    <c16:uniqueId val="{00000003-E7D6-42A7-B70E-76AD75F18DB4}"/>
                  </c:ext>
                </c:extLst>
              </c15:ser>
            </c15:filteredScatterSeries>
          </c:ext>
        </c:extLst>
      </c:scatterChart>
      <c:valAx>
        <c:axId val="6104903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100" b="1" baseline="0"/>
                  <a:t>KW</a:t>
                </a:r>
              </a:p>
            </c:rich>
          </c:tx>
          <c:layout>
            <c:manualLayout>
              <c:xMode val="edge"/>
              <c:yMode val="edge"/>
              <c:x val="0.4810062304972772"/>
              <c:y val="0.9341810038765117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909840"/>
        <c:crosses val="autoZero"/>
        <c:crossBetween val="midCat"/>
      </c:valAx>
      <c:valAx>
        <c:axId val="408909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100" b="1"/>
                  <a:t>Cable</a:t>
                </a:r>
                <a:r>
                  <a:rPr lang="en-GB" sz="1100" b="1" baseline="0"/>
                  <a:t> length</a:t>
                </a:r>
              </a:p>
            </c:rich>
          </c:tx>
          <c:layout>
            <c:manualLayout>
              <c:xMode val="edge"/>
              <c:yMode val="edge"/>
              <c:x val="2.2715540971502547E-3"/>
              <c:y val="0.40088450951415283"/>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490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svg"/><Relationship Id="rId3" Type="http://schemas.openxmlformats.org/officeDocument/2006/relationships/image" Target="../media/image4.svg"/><Relationship Id="rId7" Type="http://schemas.openxmlformats.org/officeDocument/2006/relationships/image" Target="../media/image8.svg"/><Relationship Id="rId12" Type="http://schemas.openxmlformats.org/officeDocument/2006/relationships/image" Target="../media/image13.png"/><Relationship Id="rId17" Type="http://schemas.openxmlformats.org/officeDocument/2006/relationships/image" Target="../media/image17.svg"/><Relationship Id="rId2" Type="http://schemas.openxmlformats.org/officeDocument/2006/relationships/image" Target="../media/image3.png"/><Relationship Id="rId16" Type="http://schemas.openxmlformats.org/officeDocument/2006/relationships/image" Target="../media/image16.png"/><Relationship Id="rId1" Type="http://schemas.openxmlformats.org/officeDocument/2006/relationships/chart" Target="../charts/chart6.xml"/><Relationship Id="rId6" Type="http://schemas.openxmlformats.org/officeDocument/2006/relationships/image" Target="../media/image7.png"/><Relationship Id="rId11" Type="http://schemas.openxmlformats.org/officeDocument/2006/relationships/image" Target="../media/image12.svg"/><Relationship Id="rId5" Type="http://schemas.openxmlformats.org/officeDocument/2006/relationships/image" Target="../media/image6.svg"/><Relationship Id="rId15" Type="http://schemas.openxmlformats.org/officeDocument/2006/relationships/image" Target="../media/image15.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svg"/><Relationship Id="rId1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393700</xdr:colOff>
      <xdr:row>0</xdr:row>
      <xdr:rowOff>94344</xdr:rowOff>
    </xdr:from>
    <xdr:to>
      <xdr:col>4</xdr:col>
      <xdr:colOff>3695</xdr:colOff>
      <xdr:row>0</xdr:row>
      <xdr:rowOff>1198880</xdr:rowOff>
    </xdr:to>
    <xdr:pic>
      <xdr:nvPicPr>
        <xdr:cNvPr id="2" name="Picture 1">
          <a:extLst>
            <a:ext uri="{FF2B5EF4-FFF2-40B4-BE49-F238E27FC236}">
              <a16:creationId xmlns:a16="http://schemas.microsoft.com/office/drawing/2014/main" id="{7C9C2E53-DE83-F78F-9C96-C99CF8E1B2F4}"/>
            </a:ext>
          </a:extLst>
        </xdr:cNvPr>
        <xdr:cNvPicPr>
          <a:picLocks noChangeAspect="1"/>
        </xdr:cNvPicPr>
      </xdr:nvPicPr>
      <xdr:blipFill>
        <a:blip xmlns:r="http://schemas.openxmlformats.org/officeDocument/2006/relationships" r:embed="rId1"/>
        <a:stretch>
          <a:fillRect/>
        </a:stretch>
      </xdr:blipFill>
      <xdr:spPr>
        <a:xfrm>
          <a:off x="393700" y="94344"/>
          <a:ext cx="8662030" cy="1112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0</xdr:row>
      <xdr:rowOff>121538</xdr:rowOff>
    </xdr:from>
    <xdr:to>
      <xdr:col>4</xdr:col>
      <xdr:colOff>55880</xdr:colOff>
      <xdr:row>0</xdr:row>
      <xdr:rowOff>1044601</xdr:rowOff>
    </xdr:to>
    <xdr:pic>
      <xdr:nvPicPr>
        <xdr:cNvPr id="2" name="Picture 1">
          <a:extLst>
            <a:ext uri="{FF2B5EF4-FFF2-40B4-BE49-F238E27FC236}">
              <a16:creationId xmlns:a16="http://schemas.microsoft.com/office/drawing/2014/main" id="{9684E158-DCD7-832A-8BA5-44D21A65D08E}"/>
            </a:ext>
          </a:extLst>
        </xdr:cNvPr>
        <xdr:cNvPicPr>
          <a:picLocks noChangeAspect="1"/>
        </xdr:cNvPicPr>
      </xdr:nvPicPr>
      <xdr:blipFill>
        <a:blip xmlns:r="http://schemas.openxmlformats.org/officeDocument/2006/relationships" r:embed="rId1"/>
        <a:stretch>
          <a:fillRect/>
        </a:stretch>
      </xdr:blipFill>
      <xdr:spPr>
        <a:xfrm>
          <a:off x="317500" y="121538"/>
          <a:ext cx="6388100" cy="910363"/>
        </a:xfrm>
        <a:prstGeom prst="rect">
          <a:avLst/>
        </a:prstGeom>
      </xdr:spPr>
    </xdr:pic>
    <xdr:clientData/>
  </xdr:twoCellAnchor>
  <xdr:twoCellAnchor>
    <xdr:from>
      <xdr:col>10</xdr:col>
      <xdr:colOff>21770</xdr:colOff>
      <xdr:row>38</xdr:row>
      <xdr:rowOff>6840</xdr:rowOff>
    </xdr:from>
    <xdr:to>
      <xdr:col>17</xdr:col>
      <xdr:colOff>792479</xdr:colOff>
      <xdr:row>48</xdr:row>
      <xdr:rowOff>54908</xdr:rowOff>
    </xdr:to>
    <xdr:graphicFrame macro="">
      <xdr:nvGraphicFramePr>
        <xdr:cNvPr id="3" name="Chart 2">
          <a:extLst>
            <a:ext uri="{FF2B5EF4-FFF2-40B4-BE49-F238E27FC236}">
              <a16:creationId xmlns:a16="http://schemas.microsoft.com/office/drawing/2014/main" id="{695D354A-F654-457E-9FBA-C71F2E6D6354}"/>
            </a:ext>
            <a:ext uri="{147F2762-F138-4A5C-976F-8EAC2B608ADB}">
              <a16:predDERef xmlns:a16="http://schemas.microsoft.com/office/drawing/2014/main" pred="{9684E158-DCD7-832A-8BA5-44D21A65D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21771</xdr:colOff>
      <xdr:row>48</xdr:row>
      <xdr:rowOff>43542</xdr:rowOff>
    </xdr:from>
    <xdr:to>
      <xdr:col>17</xdr:col>
      <xdr:colOff>784860</xdr:colOff>
      <xdr:row>60</xdr:row>
      <xdr:rowOff>90263</xdr:rowOff>
    </xdr:to>
    <xdr:graphicFrame macro="">
      <xdr:nvGraphicFramePr>
        <xdr:cNvPr id="4" name="Chart 3">
          <a:extLst>
            <a:ext uri="{FF2B5EF4-FFF2-40B4-BE49-F238E27FC236}">
              <a16:creationId xmlns:a16="http://schemas.microsoft.com/office/drawing/2014/main" id="{DE55B3F9-3DAA-47FF-A57C-DC7EA342519C}"/>
            </a:ext>
            <a:ext uri="{147F2762-F138-4A5C-976F-8EAC2B608ADB}">
              <a16:predDERef xmlns:a16="http://schemas.microsoft.com/office/drawing/2014/main" pred="{695D354A-F654-457E-9FBA-C71F2E6D6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25038</xdr:colOff>
      <xdr:row>60</xdr:row>
      <xdr:rowOff>112811</xdr:rowOff>
    </xdr:from>
    <xdr:to>
      <xdr:col>17</xdr:col>
      <xdr:colOff>784860</xdr:colOff>
      <xdr:row>73</xdr:row>
      <xdr:rowOff>67267</xdr:rowOff>
    </xdr:to>
    <xdr:graphicFrame macro="">
      <xdr:nvGraphicFramePr>
        <xdr:cNvPr id="5" name="Chart 4">
          <a:extLst>
            <a:ext uri="{FF2B5EF4-FFF2-40B4-BE49-F238E27FC236}">
              <a16:creationId xmlns:a16="http://schemas.microsoft.com/office/drawing/2014/main" id="{00CA703C-69AD-4D57-9B40-018ED9979A19}"/>
            </a:ext>
            <a:ext uri="{147F2762-F138-4A5C-976F-8EAC2B608ADB}">
              <a16:predDERef xmlns:a16="http://schemas.microsoft.com/office/drawing/2014/main" pred="{DE55B3F9-3DAA-47FF-A57C-DC7EA3425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97971</xdr:colOff>
      <xdr:row>38</xdr:row>
      <xdr:rowOff>9309</xdr:rowOff>
    </xdr:from>
    <xdr:to>
      <xdr:col>26</xdr:col>
      <xdr:colOff>573741</xdr:colOff>
      <xdr:row>53</xdr:row>
      <xdr:rowOff>76200</xdr:rowOff>
    </xdr:to>
    <xdr:graphicFrame macro="">
      <xdr:nvGraphicFramePr>
        <xdr:cNvPr id="6" name="Chart 5">
          <a:extLst>
            <a:ext uri="{FF2B5EF4-FFF2-40B4-BE49-F238E27FC236}">
              <a16:creationId xmlns:a16="http://schemas.microsoft.com/office/drawing/2014/main" id="{95996135-6CDE-444E-B42E-2ED133701743}"/>
            </a:ext>
            <a:ext uri="{147F2762-F138-4A5C-976F-8EAC2B608ADB}">
              <a16:predDERef xmlns:a16="http://schemas.microsoft.com/office/drawing/2014/main" pred="{00CA703C-69AD-4D57-9B40-018ED9979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95260</xdr:colOff>
      <xdr:row>53</xdr:row>
      <xdr:rowOff>76201</xdr:rowOff>
    </xdr:from>
    <xdr:to>
      <xdr:col>26</xdr:col>
      <xdr:colOff>561975</xdr:colOff>
      <xdr:row>73</xdr:row>
      <xdr:rowOff>45450</xdr:rowOff>
    </xdr:to>
    <xdr:graphicFrame macro="">
      <xdr:nvGraphicFramePr>
        <xdr:cNvPr id="7" name="Chart 6">
          <a:extLst>
            <a:ext uri="{FF2B5EF4-FFF2-40B4-BE49-F238E27FC236}">
              <a16:creationId xmlns:a16="http://schemas.microsoft.com/office/drawing/2014/main" id="{B90FD5C1-F4B4-42E6-B85F-46ACBCF6B2F7}"/>
            </a:ext>
            <a:ext uri="{147F2762-F138-4A5C-976F-8EAC2B608ADB}">
              <a16:predDERef xmlns:a16="http://schemas.microsoft.com/office/drawing/2014/main" pred="{95996135-6CDE-444E-B42E-2ED133701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308075</xdr:colOff>
      <xdr:row>29</xdr:row>
      <xdr:rowOff>124370</xdr:rowOff>
    </xdr:from>
    <xdr:to>
      <xdr:col>9</xdr:col>
      <xdr:colOff>447947</xdr:colOff>
      <xdr:row>39</xdr:row>
      <xdr:rowOff>45448</xdr:rowOff>
    </xdr:to>
    <xdr:graphicFrame macro="">
      <xdr:nvGraphicFramePr>
        <xdr:cNvPr id="18" name="Chart 17">
          <a:extLst>
            <a:ext uri="{FF2B5EF4-FFF2-40B4-BE49-F238E27FC236}">
              <a16:creationId xmlns:a16="http://schemas.microsoft.com/office/drawing/2014/main" id="{6C58F868-666C-4EE4-81B6-2116FF1AE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14111</xdr:colOff>
      <xdr:row>9</xdr:row>
      <xdr:rowOff>33619</xdr:rowOff>
    </xdr:from>
    <xdr:to>
      <xdr:col>9</xdr:col>
      <xdr:colOff>364984</xdr:colOff>
      <xdr:row>10</xdr:row>
      <xdr:rowOff>48119</xdr:rowOff>
    </xdr:to>
    <xdr:pic>
      <xdr:nvPicPr>
        <xdr:cNvPr id="20" name="Graphic 19" descr="Information with solid fill">
          <a:extLst>
            <a:ext uri="{FF2B5EF4-FFF2-40B4-BE49-F238E27FC236}">
              <a16:creationId xmlns:a16="http://schemas.microsoft.com/office/drawing/2014/main" id="{8C098094-D550-4F07-9FC5-3C263EAFCCE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805333" y="3730730"/>
          <a:ext cx="352778" cy="333270"/>
        </a:xfrm>
        <a:prstGeom prst="rect">
          <a:avLst/>
        </a:prstGeom>
      </xdr:spPr>
    </xdr:pic>
    <xdr:clientData/>
  </xdr:twoCellAnchor>
  <xdr:twoCellAnchor editAs="oneCell">
    <xdr:from>
      <xdr:col>9</xdr:col>
      <xdr:colOff>5715</xdr:colOff>
      <xdr:row>14</xdr:row>
      <xdr:rowOff>309956</xdr:rowOff>
    </xdr:from>
    <xdr:to>
      <xdr:col>9</xdr:col>
      <xdr:colOff>324521</xdr:colOff>
      <xdr:row>15</xdr:row>
      <xdr:rowOff>313020</xdr:rowOff>
    </xdr:to>
    <xdr:pic>
      <xdr:nvPicPr>
        <xdr:cNvPr id="22" name="Graphic 21" descr="Gears with solid fill">
          <a:extLst>
            <a:ext uri="{FF2B5EF4-FFF2-40B4-BE49-F238E27FC236}">
              <a16:creationId xmlns:a16="http://schemas.microsoft.com/office/drawing/2014/main" id="{5C5AB9D2-59B5-ADBB-1434-CC9B8753E7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7883450" y="4792309"/>
          <a:ext cx="303566" cy="311186"/>
        </a:xfrm>
        <a:prstGeom prst="rect">
          <a:avLst/>
        </a:prstGeom>
      </xdr:spPr>
    </xdr:pic>
    <xdr:clientData/>
  </xdr:twoCellAnchor>
  <xdr:twoCellAnchor editAs="oneCell">
    <xdr:from>
      <xdr:col>9</xdr:col>
      <xdr:colOff>44824</xdr:colOff>
      <xdr:row>24</xdr:row>
      <xdr:rowOff>23682</xdr:rowOff>
    </xdr:from>
    <xdr:to>
      <xdr:col>9</xdr:col>
      <xdr:colOff>306369</xdr:colOff>
      <xdr:row>24</xdr:row>
      <xdr:rowOff>286871</xdr:rowOff>
    </xdr:to>
    <xdr:pic>
      <xdr:nvPicPr>
        <xdr:cNvPr id="25" name="Graphic 24" descr="Bar chart with solid fill">
          <a:extLst>
            <a:ext uri="{FF2B5EF4-FFF2-40B4-BE49-F238E27FC236}">
              <a16:creationId xmlns:a16="http://schemas.microsoft.com/office/drawing/2014/main" id="{F1CA5912-7F2E-1E54-ADC1-FD5E53ACEAB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922559" y="7329917"/>
          <a:ext cx="261545" cy="255569"/>
        </a:xfrm>
        <a:prstGeom prst="rect">
          <a:avLst/>
        </a:prstGeom>
      </xdr:spPr>
    </xdr:pic>
    <xdr:clientData/>
  </xdr:twoCellAnchor>
  <xdr:twoCellAnchor editAs="oneCell">
    <xdr:from>
      <xdr:col>18</xdr:col>
      <xdr:colOff>74076</xdr:colOff>
      <xdr:row>4</xdr:row>
      <xdr:rowOff>37429</xdr:rowOff>
    </xdr:from>
    <xdr:to>
      <xdr:col>18</xdr:col>
      <xdr:colOff>345358</xdr:colOff>
      <xdr:row>5</xdr:row>
      <xdr:rowOff>17066</xdr:rowOff>
    </xdr:to>
    <xdr:pic>
      <xdr:nvPicPr>
        <xdr:cNvPr id="27" name="Graphic 26" descr="Lightning bolt with solid fill">
          <a:extLst>
            <a:ext uri="{FF2B5EF4-FFF2-40B4-BE49-F238E27FC236}">
              <a16:creationId xmlns:a16="http://schemas.microsoft.com/office/drawing/2014/main" id="{FCF37E1D-D6E2-4D4F-3943-4BC866CBC3B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6401047" y="1382135"/>
          <a:ext cx="271282" cy="264455"/>
        </a:xfrm>
        <a:prstGeom prst="rect">
          <a:avLst/>
        </a:prstGeom>
      </xdr:spPr>
    </xdr:pic>
    <xdr:clientData/>
  </xdr:twoCellAnchor>
  <xdr:twoCellAnchor editAs="oneCell">
    <xdr:from>
      <xdr:col>18</xdr:col>
      <xdr:colOff>22986</xdr:colOff>
      <xdr:row>11</xdr:row>
      <xdr:rowOff>404645</xdr:rowOff>
    </xdr:from>
    <xdr:to>
      <xdr:col>19</xdr:col>
      <xdr:colOff>1324</xdr:colOff>
      <xdr:row>13</xdr:row>
      <xdr:rowOff>21235</xdr:rowOff>
    </xdr:to>
    <xdr:pic>
      <xdr:nvPicPr>
        <xdr:cNvPr id="29" name="Graphic 28" descr="Connected with solid fill">
          <a:extLst>
            <a:ext uri="{FF2B5EF4-FFF2-40B4-BE49-F238E27FC236}">
              <a16:creationId xmlns:a16="http://schemas.microsoft.com/office/drawing/2014/main" id="{EFF3AB96-6350-DC92-2DE2-3E3166A447C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6193589" y="4915335"/>
          <a:ext cx="339632" cy="359014"/>
        </a:xfrm>
        <a:prstGeom prst="rect">
          <a:avLst/>
        </a:prstGeom>
      </xdr:spPr>
    </xdr:pic>
    <xdr:clientData/>
  </xdr:twoCellAnchor>
  <xdr:twoCellAnchor editAs="oneCell">
    <xdr:from>
      <xdr:col>18</xdr:col>
      <xdr:colOff>44823</xdr:colOff>
      <xdr:row>24</xdr:row>
      <xdr:rowOff>2266</xdr:rowOff>
    </xdr:from>
    <xdr:to>
      <xdr:col>19</xdr:col>
      <xdr:colOff>1329</xdr:colOff>
      <xdr:row>24</xdr:row>
      <xdr:rowOff>311810</xdr:rowOff>
    </xdr:to>
    <xdr:pic>
      <xdr:nvPicPr>
        <xdr:cNvPr id="31" name="Graphic 30" descr="Plugged Unplugged with solid fill">
          <a:extLst>
            <a:ext uri="{FF2B5EF4-FFF2-40B4-BE49-F238E27FC236}">
              <a16:creationId xmlns:a16="http://schemas.microsoft.com/office/drawing/2014/main" id="{4D64F602-1C0C-1051-6120-FA5340FC034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6371794" y="7936031"/>
          <a:ext cx="306370" cy="307017"/>
        </a:xfrm>
        <a:prstGeom prst="rect">
          <a:avLst/>
        </a:prstGeom>
      </xdr:spPr>
    </xdr:pic>
    <xdr:clientData/>
  </xdr:twoCellAnchor>
  <xdr:twoCellAnchor editAs="oneCell">
    <xdr:from>
      <xdr:col>0</xdr:col>
      <xdr:colOff>391885</xdr:colOff>
      <xdr:row>1</xdr:row>
      <xdr:rowOff>81643</xdr:rowOff>
    </xdr:from>
    <xdr:to>
      <xdr:col>10</xdr:col>
      <xdr:colOff>18173</xdr:colOff>
      <xdr:row>1</xdr:row>
      <xdr:rowOff>1202690</xdr:rowOff>
    </xdr:to>
    <xdr:pic>
      <xdr:nvPicPr>
        <xdr:cNvPr id="19" name="Picture 18">
          <a:extLst>
            <a:ext uri="{FF2B5EF4-FFF2-40B4-BE49-F238E27FC236}">
              <a16:creationId xmlns:a16="http://schemas.microsoft.com/office/drawing/2014/main" id="{90EF5C75-4221-8939-164D-72F12578C30D}"/>
            </a:ext>
          </a:extLst>
        </xdr:cNvPr>
        <xdr:cNvPicPr>
          <a:picLocks noChangeAspect="1"/>
        </xdr:cNvPicPr>
      </xdr:nvPicPr>
      <xdr:blipFill>
        <a:blip xmlns:r="http://schemas.openxmlformats.org/officeDocument/2006/relationships" r:embed="rId14"/>
        <a:stretch>
          <a:fillRect/>
        </a:stretch>
      </xdr:blipFill>
      <xdr:spPr>
        <a:xfrm>
          <a:off x="391885" y="234043"/>
          <a:ext cx="8812198" cy="1124857"/>
        </a:xfrm>
        <a:prstGeom prst="rect">
          <a:avLst/>
        </a:prstGeom>
      </xdr:spPr>
    </xdr:pic>
    <xdr:clientData/>
  </xdr:twoCellAnchor>
  <xdr:twoCellAnchor editAs="oneCell">
    <xdr:from>
      <xdr:col>21</xdr:col>
      <xdr:colOff>151536</xdr:colOff>
      <xdr:row>6</xdr:row>
      <xdr:rowOff>71438</xdr:rowOff>
    </xdr:from>
    <xdr:to>
      <xdr:col>28</xdr:col>
      <xdr:colOff>140109</xdr:colOff>
      <xdr:row>26</xdr:row>
      <xdr:rowOff>107594</xdr:rowOff>
    </xdr:to>
    <xdr:pic>
      <xdr:nvPicPr>
        <xdr:cNvPr id="2" name="Picture 2">
          <a:extLst>
            <a:ext uri="{FF2B5EF4-FFF2-40B4-BE49-F238E27FC236}">
              <a16:creationId xmlns:a16="http://schemas.microsoft.com/office/drawing/2014/main" id="{0A6721A1-958E-A940-90E6-39227BE249B4}"/>
            </a:ext>
          </a:extLst>
        </xdr:cNvPr>
        <xdr:cNvPicPr>
          <a:picLocks noChangeAspect="1"/>
        </xdr:cNvPicPr>
      </xdr:nvPicPr>
      <xdr:blipFill rotWithShape="1">
        <a:blip xmlns:r="http://schemas.openxmlformats.org/officeDocument/2006/relationships" r:embed="rId15"/>
        <a:srcRect r="5512"/>
        <a:stretch/>
      </xdr:blipFill>
      <xdr:spPr>
        <a:xfrm rot="16200000">
          <a:off x="18939619" y="2047855"/>
          <a:ext cx="6703656" cy="8148322"/>
        </a:xfrm>
        <a:prstGeom prst="rect">
          <a:avLst/>
        </a:prstGeom>
      </xdr:spPr>
    </xdr:pic>
    <xdr:clientData/>
  </xdr:twoCellAnchor>
  <xdr:twoCellAnchor editAs="oneCell">
    <xdr:from>
      <xdr:col>12</xdr:col>
      <xdr:colOff>0</xdr:colOff>
      <xdr:row>1</xdr:row>
      <xdr:rowOff>0</xdr:rowOff>
    </xdr:from>
    <xdr:to>
      <xdr:col>18</xdr:col>
      <xdr:colOff>230465</xdr:colOff>
      <xdr:row>1</xdr:row>
      <xdr:rowOff>1121047</xdr:rowOff>
    </xdr:to>
    <xdr:pic>
      <xdr:nvPicPr>
        <xdr:cNvPr id="3" name="Picture 18">
          <a:extLst>
            <a:ext uri="{FF2B5EF4-FFF2-40B4-BE49-F238E27FC236}">
              <a16:creationId xmlns:a16="http://schemas.microsoft.com/office/drawing/2014/main" id="{37456B42-0F43-6D41-A882-33DE0F2BB007}"/>
            </a:ext>
          </a:extLst>
        </xdr:cNvPr>
        <xdr:cNvPicPr>
          <a:picLocks noChangeAspect="1"/>
        </xdr:cNvPicPr>
      </xdr:nvPicPr>
      <xdr:blipFill>
        <a:blip xmlns:r="http://schemas.openxmlformats.org/officeDocument/2006/relationships" r:embed="rId14"/>
        <a:stretch>
          <a:fillRect/>
        </a:stretch>
      </xdr:blipFill>
      <xdr:spPr>
        <a:xfrm>
          <a:off x="10160000" y="152400"/>
          <a:ext cx="8926498" cy="1117237"/>
        </a:xfrm>
        <a:prstGeom prst="rect">
          <a:avLst/>
        </a:prstGeom>
      </xdr:spPr>
    </xdr:pic>
    <xdr:clientData/>
  </xdr:twoCellAnchor>
  <xdr:twoCellAnchor editAs="oneCell">
    <xdr:from>
      <xdr:col>21</xdr:col>
      <xdr:colOff>0</xdr:colOff>
      <xdr:row>1</xdr:row>
      <xdr:rowOff>0</xdr:rowOff>
    </xdr:from>
    <xdr:to>
      <xdr:col>28</xdr:col>
      <xdr:colOff>20352</xdr:colOff>
      <xdr:row>1</xdr:row>
      <xdr:rowOff>1121047</xdr:rowOff>
    </xdr:to>
    <xdr:pic>
      <xdr:nvPicPr>
        <xdr:cNvPr id="4" name="Picture 18">
          <a:extLst>
            <a:ext uri="{FF2B5EF4-FFF2-40B4-BE49-F238E27FC236}">
              <a16:creationId xmlns:a16="http://schemas.microsoft.com/office/drawing/2014/main" id="{60EF3560-618A-144B-B415-D8381B1BC44F}"/>
            </a:ext>
          </a:extLst>
        </xdr:cNvPr>
        <xdr:cNvPicPr>
          <a:picLocks noChangeAspect="1"/>
        </xdr:cNvPicPr>
      </xdr:nvPicPr>
      <xdr:blipFill>
        <a:blip xmlns:r="http://schemas.openxmlformats.org/officeDocument/2006/relationships" r:embed="rId14"/>
        <a:stretch>
          <a:fillRect/>
        </a:stretch>
      </xdr:blipFill>
      <xdr:spPr>
        <a:xfrm>
          <a:off x="19481800" y="152400"/>
          <a:ext cx="8926498" cy="1117237"/>
        </a:xfrm>
        <a:prstGeom prst="rect">
          <a:avLst/>
        </a:prstGeom>
      </xdr:spPr>
    </xdr:pic>
    <xdr:clientData/>
  </xdr:twoCellAnchor>
  <xdr:twoCellAnchor editAs="oneCell">
    <xdr:from>
      <xdr:col>9</xdr:col>
      <xdr:colOff>55418</xdr:colOff>
      <xdr:row>20</xdr:row>
      <xdr:rowOff>318654</xdr:rowOff>
    </xdr:from>
    <xdr:to>
      <xdr:col>9</xdr:col>
      <xdr:colOff>352078</xdr:colOff>
      <xdr:row>21</xdr:row>
      <xdr:rowOff>287134</xdr:rowOff>
    </xdr:to>
    <xdr:pic>
      <xdr:nvPicPr>
        <xdr:cNvPr id="6" name="Graphic 5" descr="Coins with solid fill">
          <a:extLst>
            <a:ext uri="{FF2B5EF4-FFF2-40B4-BE49-F238E27FC236}">
              <a16:creationId xmlns:a16="http://schemas.microsoft.com/office/drawing/2014/main" id="{7CFAD9F4-2755-41C5-B163-5EA403DB5E9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7924800" y="7010399"/>
          <a:ext cx="290945" cy="290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403411</xdr:colOff>
      <xdr:row>91</xdr:row>
      <xdr:rowOff>182075</xdr:rowOff>
    </xdr:from>
    <xdr:to>
      <xdr:col>17</xdr:col>
      <xdr:colOff>257317</xdr:colOff>
      <xdr:row>100</xdr:row>
      <xdr:rowOff>59146</xdr:rowOff>
    </xdr:to>
    <xdr:graphicFrame macro="">
      <xdr:nvGraphicFramePr>
        <xdr:cNvPr id="7" name="Chart 6">
          <a:extLst>
            <a:ext uri="{FF2B5EF4-FFF2-40B4-BE49-F238E27FC236}">
              <a16:creationId xmlns:a16="http://schemas.microsoft.com/office/drawing/2014/main" id="{6350D5A9-1C8A-4DA1-813F-37238B5B3C33}"/>
            </a:ext>
            <a:ext uri="{147F2762-F138-4A5C-976F-8EAC2B608ADB}">
              <a16:predDERef xmlns:a16="http://schemas.microsoft.com/office/drawing/2014/main" pred="{288D744D-11C7-99BF-6596-7DD3FA45E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520289</xdr:colOff>
      <xdr:row>91</xdr:row>
      <xdr:rowOff>154193</xdr:rowOff>
    </xdr:from>
    <xdr:to>
      <xdr:col>31</xdr:col>
      <xdr:colOff>393000</xdr:colOff>
      <xdr:row>100</xdr:row>
      <xdr:rowOff>59839</xdr:rowOff>
    </xdr:to>
    <xdr:graphicFrame macro="">
      <xdr:nvGraphicFramePr>
        <xdr:cNvPr id="8" name="Chart 7">
          <a:extLst>
            <a:ext uri="{FF2B5EF4-FFF2-40B4-BE49-F238E27FC236}">
              <a16:creationId xmlns:a16="http://schemas.microsoft.com/office/drawing/2014/main" id="{3BDFF13B-E747-4B20-8CD2-B62AE9BF4AF9}"/>
            </a:ext>
            <a:ext uri="{147F2762-F138-4A5C-976F-8EAC2B608ADB}">
              <a16:predDERef xmlns:a16="http://schemas.microsoft.com/office/drawing/2014/main" pred="{6350D5A9-1C8A-4DA1-813F-37238B5B3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706689</xdr:colOff>
      <xdr:row>5</xdr:row>
      <xdr:rowOff>78831</xdr:rowOff>
    </xdr:from>
    <xdr:to>
      <xdr:col>5</xdr:col>
      <xdr:colOff>598761</xdr:colOff>
      <xdr:row>20</xdr:row>
      <xdr:rowOff>145722</xdr:rowOff>
    </xdr:to>
    <xdr:pic>
      <xdr:nvPicPr>
        <xdr:cNvPr id="3" name="Picture 2">
          <a:extLst>
            <a:ext uri="{FF2B5EF4-FFF2-40B4-BE49-F238E27FC236}">
              <a16:creationId xmlns:a16="http://schemas.microsoft.com/office/drawing/2014/main" id="{444B504F-52DF-FC07-3981-0A88A6455102}"/>
            </a:ext>
          </a:extLst>
        </xdr:cNvPr>
        <xdr:cNvPicPr>
          <a:picLocks noChangeAspect="1"/>
        </xdr:cNvPicPr>
      </xdr:nvPicPr>
      <xdr:blipFill rotWithShape="1">
        <a:blip xmlns:r="http://schemas.openxmlformats.org/officeDocument/2006/relationships" r:embed="rId1"/>
        <a:srcRect l="18776" t="10989" r="25093" b="9159"/>
        <a:stretch/>
      </xdr:blipFill>
      <xdr:spPr>
        <a:xfrm>
          <a:off x="1503723" y="849590"/>
          <a:ext cx="3077034" cy="2960410"/>
        </a:xfrm>
        <a:prstGeom prst="rect">
          <a:avLst/>
        </a:prstGeom>
      </xdr:spPr>
    </xdr:pic>
    <xdr:clientData/>
  </xdr:twoCellAnchor>
  <xdr:twoCellAnchor editAs="oneCell">
    <xdr:from>
      <xdr:col>8</xdr:col>
      <xdr:colOff>539772</xdr:colOff>
      <xdr:row>5</xdr:row>
      <xdr:rowOff>87586</xdr:rowOff>
    </xdr:from>
    <xdr:to>
      <xdr:col>13</xdr:col>
      <xdr:colOff>219396</xdr:colOff>
      <xdr:row>20</xdr:row>
      <xdr:rowOff>143313</xdr:rowOff>
    </xdr:to>
    <xdr:pic>
      <xdr:nvPicPr>
        <xdr:cNvPr id="4" name="Picture 3">
          <a:extLst>
            <a:ext uri="{FF2B5EF4-FFF2-40B4-BE49-F238E27FC236}">
              <a16:creationId xmlns:a16="http://schemas.microsoft.com/office/drawing/2014/main" id="{376698B3-5234-F787-3746-2CDF6177F59E}"/>
            </a:ext>
          </a:extLst>
        </xdr:cNvPr>
        <xdr:cNvPicPr>
          <a:picLocks noChangeAspect="1"/>
        </xdr:cNvPicPr>
      </xdr:nvPicPr>
      <xdr:blipFill rotWithShape="1">
        <a:blip xmlns:r="http://schemas.openxmlformats.org/officeDocument/2006/relationships" r:embed="rId2"/>
        <a:srcRect l="2270" t="9278" r="2673" b="5529"/>
        <a:stretch/>
      </xdr:blipFill>
      <xdr:spPr>
        <a:xfrm>
          <a:off x="6916048" y="858345"/>
          <a:ext cx="3661622" cy="2942896"/>
        </a:xfrm>
        <a:prstGeom prst="rect">
          <a:avLst/>
        </a:prstGeom>
      </xdr:spPr>
    </xdr:pic>
    <xdr:clientData/>
  </xdr:twoCellAnchor>
  <xdr:twoCellAnchor editAs="oneCell">
    <xdr:from>
      <xdr:col>1</xdr:col>
      <xdr:colOff>367862</xdr:colOff>
      <xdr:row>26</xdr:row>
      <xdr:rowOff>8758</xdr:rowOff>
    </xdr:from>
    <xdr:to>
      <xdr:col>6</xdr:col>
      <xdr:colOff>66893</xdr:colOff>
      <xdr:row>39</xdr:row>
      <xdr:rowOff>126233</xdr:rowOff>
    </xdr:to>
    <xdr:pic>
      <xdr:nvPicPr>
        <xdr:cNvPr id="5" name="Picture 4">
          <a:extLst>
            <a:ext uri="{FF2B5EF4-FFF2-40B4-BE49-F238E27FC236}">
              <a16:creationId xmlns:a16="http://schemas.microsoft.com/office/drawing/2014/main" id="{EBC7369F-7AEC-0727-0F41-E2731B292386}"/>
            </a:ext>
          </a:extLst>
        </xdr:cNvPr>
        <xdr:cNvPicPr>
          <a:picLocks noChangeAspect="1"/>
        </xdr:cNvPicPr>
      </xdr:nvPicPr>
      <xdr:blipFill rotWithShape="1">
        <a:blip xmlns:r="http://schemas.openxmlformats.org/officeDocument/2006/relationships" r:embed="rId3"/>
        <a:srcRect l="3687" r="10076"/>
        <a:stretch/>
      </xdr:blipFill>
      <xdr:spPr>
        <a:xfrm>
          <a:off x="1164896" y="4825999"/>
          <a:ext cx="3687379" cy="2619266"/>
        </a:xfrm>
        <a:prstGeom prst="rect">
          <a:avLst/>
        </a:prstGeom>
      </xdr:spPr>
    </xdr:pic>
    <xdr:clientData/>
  </xdr:twoCellAnchor>
  <xdr:twoCellAnchor editAs="oneCell">
    <xdr:from>
      <xdr:col>8</xdr:col>
      <xdr:colOff>31160</xdr:colOff>
      <xdr:row>26</xdr:row>
      <xdr:rowOff>87588</xdr:rowOff>
    </xdr:from>
    <xdr:to>
      <xdr:col>13</xdr:col>
      <xdr:colOff>695909</xdr:colOff>
      <xdr:row>39</xdr:row>
      <xdr:rowOff>84412</xdr:rowOff>
    </xdr:to>
    <xdr:pic>
      <xdr:nvPicPr>
        <xdr:cNvPr id="6" name="Picture 5">
          <a:extLst>
            <a:ext uri="{FF2B5EF4-FFF2-40B4-BE49-F238E27FC236}">
              <a16:creationId xmlns:a16="http://schemas.microsoft.com/office/drawing/2014/main" id="{C1C22041-8178-8351-4F98-0BC42962B72C}"/>
            </a:ext>
          </a:extLst>
        </xdr:cNvPr>
        <xdr:cNvPicPr>
          <a:picLocks noChangeAspect="1"/>
        </xdr:cNvPicPr>
      </xdr:nvPicPr>
      <xdr:blipFill rotWithShape="1">
        <a:blip xmlns:r="http://schemas.openxmlformats.org/officeDocument/2006/relationships" r:embed="rId4"/>
        <a:srcRect l="4767" t="11020" b="4914"/>
        <a:stretch/>
      </xdr:blipFill>
      <xdr:spPr>
        <a:xfrm>
          <a:off x="6407436" y="4904829"/>
          <a:ext cx="4684847" cy="2504965"/>
        </a:xfrm>
        <a:prstGeom prst="rect">
          <a:avLst/>
        </a:prstGeom>
      </xdr:spPr>
    </xdr:pic>
    <xdr:clientData/>
  </xdr:twoCellAnchor>
  <xdr:oneCellAnchor>
    <xdr:from>
      <xdr:col>15</xdr:col>
      <xdr:colOff>705555</xdr:colOff>
      <xdr:row>5</xdr:row>
      <xdr:rowOff>21166</xdr:rowOff>
    </xdr:from>
    <xdr:ext cx="3393722" cy="2913945"/>
    <xdr:pic>
      <xdr:nvPicPr>
        <xdr:cNvPr id="2" name="Picture 1">
          <a:extLst>
            <a:ext uri="{FF2B5EF4-FFF2-40B4-BE49-F238E27FC236}">
              <a16:creationId xmlns:a16="http://schemas.microsoft.com/office/drawing/2014/main" id="{5CD5D0FD-C0CE-9141-85F8-02C8DD6085A5}"/>
            </a:ext>
          </a:extLst>
        </xdr:cNvPr>
        <xdr:cNvPicPr>
          <a:picLocks noChangeAspect="1"/>
        </xdr:cNvPicPr>
      </xdr:nvPicPr>
      <xdr:blipFill rotWithShape="1">
        <a:blip xmlns:r="http://schemas.openxmlformats.org/officeDocument/2006/relationships" r:embed="rId5"/>
        <a:srcRect l="8087" t="3175" r="2886"/>
        <a:stretch/>
      </xdr:blipFill>
      <xdr:spPr>
        <a:xfrm>
          <a:off x="11740444" y="1199444"/>
          <a:ext cx="3393722" cy="2913945"/>
        </a:xfrm>
        <a:prstGeom prst="rect">
          <a:avLst/>
        </a:prstGeom>
      </xdr:spPr>
    </xdr:pic>
    <xdr:clientData/>
  </xdr:oneCellAnchor>
  <xdr:oneCellAnchor>
    <xdr:from>
      <xdr:col>22</xdr:col>
      <xdr:colOff>28222</xdr:colOff>
      <xdr:row>7</xdr:row>
      <xdr:rowOff>1461</xdr:rowOff>
    </xdr:from>
    <xdr:ext cx="4374444" cy="2361908"/>
    <xdr:pic>
      <xdr:nvPicPr>
        <xdr:cNvPr id="8" name="Picture 7">
          <a:extLst>
            <a:ext uri="{FF2B5EF4-FFF2-40B4-BE49-F238E27FC236}">
              <a16:creationId xmlns:a16="http://schemas.microsoft.com/office/drawing/2014/main" id="{5DC4A7BF-BCA3-0642-9AF3-8EC82FA575CF}"/>
            </a:ext>
          </a:extLst>
        </xdr:cNvPr>
        <xdr:cNvPicPr>
          <a:picLocks noChangeAspect="1"/>
        </xdr:cNvPicPr>
      </xdr:nvPicPr>
      <xdr:blipFill rotWithShape="1">
        <a:blip xmlns:r="http://schemas.openxmlformats.org/officeDocument/2006/relationships" r:embed="rId6"/>
        <a:srcRect l="11990" t="12600" r="8634" b="9999"/>
        <a:stretch/>
      </xdr:blipFill>
      <xdr:spPr>
        <a:xfrm>
          <a:off x="16390055" y="1546628"/>
          <a:ext cx="4374444" cy="2361908"/>
        </a:xfrm>
        <a:prstGeom prst="rect">
          <a:avLst/>
        </a:prstGeom>
      </xdr:spPr>
    </xdr:pic>
    <xdr:clientData/>
  </xdr:oneCellAnchor>
  <xdr:oneCellAnchor>
    <xdr:from>
      <xdr:col>15</xdr:col>
      <xdr:colOff>17808</xdr:colOff>
      <xdr:row>26</xdr:row>
      <xdr:rowOff>105105</xdr:rowOff>
    </xdr:from>
    <xdr:ext cx="4384859" cy="2660674"/>
    <xdr:pic>
      <xdr:nvPicPr>
        <xdr:cNvPr id="10" name="Picture 9">
          <a:extLst>
            <a:ext uri="{FF2B5EF4-FFF2-40B4-BE49-F238E27FC236}">
              <a16:creationId xmlns:a16="http://schemas.microsoft.com/office/drawing/2014/main" id="{6929C4A3-556A-1247-BF73-F348A78461D1}"/>
            </a:ext>
          </a:extLst>
        </xdr:cNvPr>
        <xdr:cNvPicPr>
          <a:picLocks noChangeAspect="1"/>
        </xdr:cNvPicPr>
      </xdr:nvPicPr>
      <xdr:blipFill rotWithShape="1">
        <a:blip xmlns:r="http://schemas.openxmlformats.org/officeDocument/2006/relationships" r:embed="rId7"/>
        <a:srcRect l="5005" t="14142"/>
        <a:stretch/>
      </xdr:blipFill>
      <xdr:spPr>
        <a:xfrm>
          <a:off x="11052697" y="5135716"/>
          <a:ext cx="4384859" cy="2660674"/>
        </a:xfrm>
        <a:prstGeom prst="rect">
          <a:avLst/>
        </a:prstGeom>
      </xdr:spPr>
    </xdr:pic>
    <xdr:clientData/>
  </xdr:oneCellAnchor>
  <xdr:oneCellAnchor>
    <xdr:from>
      <xdr:col>22</xdr:col>
      <xdr:colOff>700691</xdr:colOff>
      <xdr:row>24</xdr:row>
      <xdr:rowOff>166413</xdr:rowOff>
    </xdr:from>
    <xdr:ext cx="3015885" cy="2980365"/>
    <xdr:pic>
      <xdr:nvPicPr>
        <xdr:cNvPr id="13" name="Picture 12">
          <a:extLst>
            <a:ext uri="{FF2B5EF4-FFF2-40B4-BE49-F238E27FC236}">
              <a16:creationId xmlns:a16="http://schemas.microsoft.com/office/drawing/2014/main" id="{0BA54EF8-C2C5-C94C-A65B-F051B9DA22CB}"/>
            </a:ext>
          </a:extLst>
        </xdr:cNvPr>
        <xdr:cNvPicPr>
          <a:picLocks noChangeAspect="1"/>
        </xdr:cNvPicPr>
      </xdr:nvPicPr>
      <xdr:blipFill rotWithShape="1">
        <a:blip xmlns:r="http://schemas.openxmlformats.org/officeDocument/2006/relationships" r:embed="rId8"/>
        <a:srcRect l="3021" t="2993" r="3764" b="1429"/>
        <a:stretch/>
      </xdr:blipFill>
      <xdr:spPr>
        <a:xfrm>
          <a:off x="17062524" y="4830135"/>
          <a:ext cx="3015885" cy="298036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4747C66-8B8D-49E2-BEEF-206DFDB43260}" name="Table5" displayName="Table5" ref="C76:K101" totalsRowShown="0" headerRowDxfId="91" dataDxfId="90" tableBorderDxfId="89">
  <autoFilter ref="C76:K101" xr:uid="{D4747C66-8B8D-49E2-BEEF-206DFDB43260}"/>
  <sortState xmlns:xlrd2="http://schemas.microsoft.com/office/spreadsheetml/2017/richdata2" ref="C77:K101">
    <sortCondition descending="1" ref="D76:D101"/>
  </sortState>
  <tableColumns count="9">
    <tableColumn id="1" xr3:uid="{E2026E1E-7AB1-4973-AFA5-7BBDCA0C47AB}" name="Capacity of the System(kWp)" dataDxfId="88"/>
    <tableColumn id="2" xr3:uid="{5CB965FA-227A-4EE6-B9D7-C46FB5D130C2}" name="Nb of connections" dataDxfId="87"/>
    <tableColumn id="3" xr3:uid="{C3E6C088-C7F7-4248-8068-1C80E6A3A5CE}" name="Cable Length" dataDxfId="86"/>
    <tableColumn id="4" xr3:uid="{0611F7A2-12E7-41F0-9D74-7008981502D8}" name="Conn/km" dataDxfId="85">
      <calculatedColumnFormula>IF(AND(D77&lt;&gt;0,E77 &lt;&gt;0), D77/E77, "")</calculatedColumnFormula>
    </tableColumn>
    <tableColumn id="5" xr3:uid="{AFB63E8D-7F0C-42F5-A6A2-0AB0DD6114A0}" name="Km/Conn" dataDxfId="84">
      <calculatedColumnFormula>IF(AND(D77&lt;&gt;0,E77 &lt;&gt;0), E77/D77, "")</calculatedColumnFormula>
    </tableColumn>
    <tableColumn id="6" xr3:uid="{A2F3AF61-5036-4263-BF54-5CEADABDCE57}" name="Km/KW" dataDxfId="83">
      <calculatedColumnFormula>IF(AND(C77&lt;&gt;0,E77 &lt;&gt;0), E77/C77, "")</calculatedColumnFormula>
    </tableColumn>
    <tableColumn id="7" xr3:uid="{1AB22131-3520-413D-A998-550A4B486879}" name="Conn/KW" dataDxfId="82">
      <calculatedColumnFormula>IF(AND(C77&lt;&gt;0,D77 &lt;&gt;0), D77/C77, "")</calculatedColumnFormula>
    </tableColumn>
    <tableColumn id="8" xr3:uid="{FF0D36F2-11E4-45D3-BF7F-F98A5E34546A}" name="Total Cost of the Project" dataDxfId="81"/>
    <tableColumn id="9" xr3:uid="{D1C85EB6-7AC3-403B-AFE1-7BB1925A9379}" name="Total T &amp; D Cost" dataDxfId="8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736D-F0D4-4911-9C7D-E9AFC32801C2}">
  <sheetPr codeName="Sheet1">
    <tabColor rgb="FFC00000"/>
  </sheetPr>
  <dimension ref="A1:P66"/>
  <sheetViews>
    <sheetView showGridLines="0" tabSelected="1" zoomScale="90" zoomScaleNormal="90" zoomScaleSheetLayoutView="25" workbookViewId="0">
      <selection activeCell="A3" sqref="A3"/>
    </sheetView>
  </sheetViews>
  <sheetFormatPr defaultColWidth="8.453125" defaultRowHeight="14.5" thickBottom="1" x14ac:dyDescent="0.35"/>
  <cols>
    <col min="1" max="1" width="6" style="169" customWidth="1"/>
    <col min="2" max="2" width="17.453125" style="169" customWidth="1"/>
    <col min="3" max="3" width="5.453125" style="169" customWidth="1"/>
    <col min="4" max="4" width="89.453125" style="169" customWidth="1"/>
    <col min="5" max="5" width="6" style="169" customWidth="1"/>
    <col min="6" max="6" width="5.453125" style="169" customWidth="1"/>
    <col min="7" max="7" width="12.453125" style="169" customWidth="1"/>
    <col min="8" max="8" width="70.453125" style="169" customWidth="1"/>
    <col min="9" max="9" width="12.453125" style="169" customWidth="1"/>
    <col min="10" max="14" width="8.453125" style="169"/>
    <col min="15" max="15" width="9.453125" style="169" customWidth="1"/>
    <col min="16" max="16384" width="8.453125" style="169"/>
  </cols>
  <sheetData>
    <row r="1" spans="2:15" ht="98.25" customHeight="1" thickBot="1" x14ac:dyDescent="0.35"/>
    <row r="2" spans="2:15" ht="35" customHeight="1" thickBot="1" x14ac:dyDescent="0.35">
      <c r="B2" s="400" t="s">
        <v>0</v>
      </c>
      <c r="C2" s="400"/>
      <c r="D2" s="400"/>
      <c r="E2" s="170"/>
      <c r="F2" s="400" t="s">
        <v>1</v>
      </c>
      <c r="G2" s="400"/>
      <c r="H2" s="400"/>
    </row>
    <row r="3" spans="2:15" s="171" customFormat="1" ht="25.5" customHeight="1" thickBot="1" x14ac:dyDescent="0.4"/>
    <row r="4" spans="2:15" ht="25" customHeight="1" thickBot="1" x14ac:dyDescent="0.35">
      <c r="B4" s="167" t="s">
        <v>2</v>
      </c>
      <c r="C4" s="54"/>
      <c r="D4" s="386" t="s">
        <v>3</v>
      </c>
      <c r="E4" s="170"/>
      <c r="F4" s="286"/>
      <c r="G4" s="286"/>
      <c r="H4" s="287"/>
      <c r="J4" s="172"/>
    </row>
    <row r="5" spans="2:15" ht="25" customHeight="1" thickBot="1" x14ac:dyDescent="0.35">
      <c r="B5" s="167" t="s">
        <v>4</v>
      </c>
      <c r="C5" s="54"/>
      <c r="D5" s="58" t="s">
        <v>5</v>
      </c>
      <c r="E5" s="170"/>
      <c r="F5" s="286"/>
      <c r="G5" s="286"/>
      <c r="H5" s="172"/>
      <c r="J5" s="172"/>
    </row>
    <row r="6" spans="2:15" thickBot="1" x14ac:dyDescent="0.35">
      <c r="B6" s="170"/>
      <c r="C6" s="170"/>
      <c r="D6" s="170"/>
      <c r="E6" s="170"/>
      <c r="F6" s="170"/>
      <c r="G6" s="170"/>
    </row>
    <row r="7" spans="2:15" ht="39" customHeight="1" thickBot="1" x14ac:dyDescent="0.35">
      <c r="B7" s="394" t="s">
        <v>6</v>
      </c>
      <c r="C7" s="54">
        <v>1</v>
      </c>
      <c r="D7" s="168" t="s">
        <v>7</v>
      </c>
      <c r="E7" s="170"/>
      <c r="F7" s="54">
        <v>1</v>
      </c>
      <c r="G7" s="393" t="s">
        <v>593</v>
      </c>
      <c r="H7" s="393"/>
      <c r="I7" s="173"/>
      <c r="J7" s="173"/>
      <c r="K7" s="173"/>
      <c r="L7" s="173"/>
      <c r="M7" s="173"/>
      <c r="N7" s="173"/>
      <c r="O7" s="173"/>
    </row>
    <row r="8" spans="2:15" s="175" customFormat="1" ht="47.25" customHeight="1" thickBot="1" x14ac:dyDescent="0.4">
      <c r="B8" s="395"/>
      <c r="C8" s="54">
        <v>2</v>
      </c>
      <c r="D8" s="168" t="s">
        <v>8</v>
      </c>
      <c r="E8" s="170"/>
      <c r="F8" s="54">
        <v>2</v>
      </c>
      <c r="G8" s="393" t="s">
        <v>594</v>
      </c>
      <c r="H8" s="393"/>
      <c r="I8" s="174"/>
      <c r="J8" s="174"/>
      <c r="K8" s="174"/>
      <c r="L8" s="174"/>
      <c r="M8" s="174"/>
      <c r="N8" s="174"/>
    </row>
    <row r="9" spans="2:15" ht="39" customHeight="1" thickBot="1" x14ac:dyDescent="0.35">
      <c r="B9" s="395"/>
      <c r="C9" s="54">
        <v>3</v>
      </c>
      <c r="D9" s="168" t="s">
        <v>9</v>
      </c>
      <c r="E9" s="170"/>
      <c r="F9" s="54">
        <v>3</v>
      </c>
      <c r="G9" s="393" t="s">
        <v>595</v>
      </c>
      <c r="H9" s="393"/>
      <c r="I9" s="174"/>
      <c r="J9" s="174"/>
      <c r="K9" s="174"/>
      <c r="L9" s="174"/>
      <c r="M9" s="174"/>
      <c r="N9" s="174"/>
      <c r="O9" s="174"/>
    </row>
    <row r="10" spans="2:15" ht="43" customHeight="1" thickBot="1" x14ac:dyDescent="0.35">
      <c r="B10" s="395"/>
      <c r="C10" s="54">
        <v>4</v>
      </c>
      <c r="D10" s="168" t="s">
        <v>10</v>
      </c>
      <c r="E10" s="170"/>
      <c r="F10" s="54">
        <v>4</v>
      </c>
      <c r="G10" s="393" t="s">
        <v>11</v>
      </c>
      <c r="H10" s="393"/>
      <c r="I10" s="174"/>
      <c r="J10" s="174"/>
      <c r="K10" s="174"/>
      <c r="L10" s="174"/>
      <c r="M10" s="174"/>
      <c r="N10" s="174"/>
      <c r="O10" s="174"/>
    </row>
    <row r="11" spans="2:15" ht="39" customHeight="1" thickBot="1" x14ac:dyDescent="0.35">
      <c r="B11" s="396"/>
      <c r="C11" s="54">
        <v>5</v>
      </c>
      <c r="D11" s="168" t="s">
        <v>12</v>
      </c>
      <c r="E11" s="170"/>
      <c r="F11" s="54">
        <v>5</v>
      </c>
      <c r="G11" s="397" t="s">
        <v>596</v>
      </c>
      <c r="H11" s="398"/>
      <c r="I11" s="174"/>
      <c r="J11" s="174"/>
      <c r="K11" s="174"/>
      <c r="L11" s="174"/>
      <c r="M11" s="174"/>
      <c r="N11" s="174"/>
      <c r="O11" s="174"/>
    </row>
    <row r="12" spans="2:15" thickBot="1" x14ac:dyDescent="0.35">
      <c r="B12" s="170"/>
      <c r="C12" s="170"/>
      <c r="D12" s="170"/>
      <c r="E12" s="170"/>
      <c r="F12" s="170"/>
      <c r="G12" s="170"/>
    </row>
    <row r="13" spans="2:15" ht="42" customHeight="1" thickBot="1" x14ac:dyDescent="0.35">
      <c r="B13" s="402" t="s">
        <v>13</v>
      </c>
      <c r="C13" s="54">
        <v>1</v>
      </c>
      <c r="D13" s="168" t="s">
        <v>14</v>
      </c>
      <c r="E13" s="170"/>
      <c r="F13" s="54">
        <v>1</v>
      </c>
      <c r="G13" s="389" t="s">
        <v>15</v>
      </c>
      <c r="H13" s="389"/>
      <c r="I13" s="174"/>
      <c r="J13" s="174"/>
      <c r="K13" s="174"/>
      <c r="L13" s="174"/>
      <c r="M13" s="174"/>
      <c r="N13" s="174"/>
      <c r="O13" s="174"/>
    </row>
    <row r="14" spans="2:15" ht="42" customHeight="1" thickBot="1" x14ac:dyDescent="0.35">
      <c r="B14" s="402"/>
      <c r="C14" s="54">
        <v>2</v>
      </c>
      <c r="D14" s="168" t="s">
        <v>16</v>
      </c>
      <c r="E14" s="170"/>
      <c r="F14" s="54">
        <v>2</v>
      </c>
      <c r="G14" s="393" t="s">
        <v>597</v>
      </c>
      <c r="H14" s="393"/>
      <c r="I14" s="174"/>
      <c r="J14" s="174"/>
      <c r="K14" s="174"/>
      <c r="L14" s="174"/>
      <c r="M14" s="174"/>
      <c r="N14" s="174"/>
      <c r="O14" s="174"/>
    </row>
    <row r="15" spans="2:15" ht="42" customHeight="1" thickBot="1" x14ac:dyDescent="0.35">
      <c r="B15" s="402"/>
      <c r="C15" s="54">
        <v>3</v>
      </c>
      <c r="D15" s="168" t="s">
        <v>17</v>
      </c>
      <c r="E15" s="170"/>
      <c r="F15" s="54">
        <v>3</v>
      </c>
      <c r="G15" s="389" t="s">
        <v>18</v>
      </c>
      <c r="H15" s="389"/>
      <c r="I15" s="174"/>
      <c r="J15" s="174"/>
      <c r="K15" s="174"/>
      <c r="L15" s="174"/>
      <c r="M15" s="174"/>
      <c r="N15" s="174"/>
      <c r="O15" s="174"/>
    </row>
    <row r="16" spans="2:15" ht="42" customHeight="1" thickBot="1" x14ac:dyDescent="0.35">
      <c r="B16" s="402"/>
      <c r="C16" s="54">
        <v>4</v>
      </c>
      <c r="D16" s="168" t="s">
        <v>19</v>
      </c>
      <c r="E16" s="170"/>
      <c r="F16" s="54">
        <v>4</v>
      </c>
      <c r="G16" s="389" t="s">
        <v>20</v>
      </c>
      <c r="H16" s="389"/>
      <c r="I16" s="174"/>
      <c r="J16" s="174"/>
      <c r="K16" s="174"/>
      <c r="L16" s="174"/>
      <c r="M16" s="174"/>
      <c r="N16" s="174"/>
      <c r="O16" s="174"/>
    </row>
    <row r="17" spans="2:16" ht="42" customHeight="1" thickBot="1" x14ac:dyDescent="0.35">
      <c r="B17" s="402"/>
      <c r="C17" s="54">
        <v>5</v>
      </c>
      <c r="D17" s="168" t="s">
        <v>21</v>
      </c>
      <c r="E17" s="170"/>
      <c r="F17" s="54">
        <v>5</v>
      </c>
      <c r="G17" s="389" t="s">
        <v>22</v>
      </c>
      <c r="H17" s="389"/>
      <c r="I17" s="174"/>
      <c r="J17" s="174"/>
      <c r="K17" s="174"/>
      <c r="L17" s="174"/>
      <c r="M17" s="174"/>
      <c r="N17" s="174"/>
      <c r="O17" s="174"/>
    </row>
    <row r="18" spans="2:16" thickBot="1" x14ac:dyDescent="0.35">
      <c r="B18" s="170"/>
      <c r="C18" s="170"/>
      <c r="D18" s="170"/>
      <c r="E18" s="170"/>
      <c r="F18" s="170"/>
      <c r="G18" s="170"/>
    </row>
    <row r="19" spans="2:16" ht="28.5" customHeight="1" thickBot="1" x14ac:dyDescent="0.35">
      <c r="B19" s="402" t="s">
        <v>23</v>
      </c>
      <c r="C19" s="54">
        <v>1</v>
      </c>
      <c r="D19" s="168" t="s">
        <v>24</v>
      </c>
      <c r="E19" s="170"/>
      <c r="F19" s="54">
        <v>1</v>
      </c>
      <c r="G19" s="389" t="s">
        <v>25</v>
      </c>
      <c r="H19" s="389"/>
      <c r="I19" s="174"/>
      <c r="J19" s="174"/>
      <c r="K19" s="174"/>
      <c r="L19" s="174"/>
      <c r="M19" s="174"/>
      <c r="N19" s="174"/>
      <c r="O19" s="174"/>
    </row>
    <row r="20" spans="2:16" ht="28.5" customHeight="1" thickBot="1" x14ac:dyDescent="0.35">
      <c r="B20" s="402"/>
      <c r="C20" s="54">
        <v>2</v>
      </c>
      <c r="D20" s="168" t="s">
        <v>26</v>
      </c>
      <c r="E20" s="170"/>
      <c r="F20" s="54">
        <v>2</v>
      </c>
      <c r="G20" s="389" t="s">
        <v>27</v>
      </c>
      <c r="H20" s="389"/>
      <c r="I20" s="174"/>
      <c r="J20" s="174"/>
      <c r="K20" s="174"/>
      <c r="L20" s="174"/>
      <c r="M20" s="174"/>
      <c r="N20" s="174"/>
      <c r="O20" s="174"/>
    </row>
    <row r="21" spans="2:16" ht="28.5" customHeight="1" thickBot="1" x14ac:dyDescent="0.35">
      <c r="B21" s="402"/>
      <c r="C21" s="54">
        <v>3</v>
      </c>
      <c r="D21" s="168" t="s">
        <v>28</v>
      </c>
      <c r="E21" s="170"/>
      <c r="F21" s="54">
        <v>3</v>
      </c>
      <c r="G21" s="389" t="s">
        <v>29</v>
      </c>
      <c r="H21" s="389"/>
      <c r="I21" s="174"/>
      <c r="J21" s="174"/>
      <c r="K21" s="174"/>
      <c r="L21" s="174"/>
      <c r="M21" s="174"/>
      <c r="N21" s="174"/>
      <c r="O21" s="174"/>
    </row>
    <row r="22" spans="2:16" ht="28.5" customHeight="1" thickBot="1" x14ac:dyDescent="0.35">
      <c r="B22" s="402"/>
      <c r="C22" s="54">
        <v>4</v>
      </c>
      <c r="D22" s="168" t="s">
        <v>30</v>
      </c>
      <c r="E22" s="170"/>
      <c r="F22" s="54">
        <v>4</v>
      </c>
      <c r="G22" s="389" t="s">
        <v>31</v>
      </c>
      <c r="H22" s="389"/>
      <c r="I22" s="174"/>
      <c r="J22" s="174"/>
      <c r="K22" s="174"/>
      <c r="L22" s="174"/>
      <c r="M22" s="174"/>
      <c r="N22" s="174"/>
      <c r="O22" s="174"/>
    </row>
    <row r="23" spans="2:16" ht="18" customHeight="1" thickBot="1" x14ac:dyDescent="0.35">
      <c r="B23" s="170"/>
      <c r="C23" s="170"/>
      <c r="D23" s="176"/>
      <c r="E23" s="177"/>
      <c r="F23" s="177"/>
      <c r="G23" s="177"/>
      <c r="H23" s="178"/>
      <c r="I23" s="178"/>
      <c r="J23" s="178"/>
      <c r="K23" s="178"/>
      <c r="L23" s="178"/>
      <c r="M23" s="178"/>
      <c r="N23" s="178"/>
      <c r="O23" s="178"/>
    </row>
    <row r="24" spans="2:16" ht="81" customHeight="1" thickBot="1" x14ac:dyDescent="0.35">
      <c r="B24" s="401" t="s">
        <v>32</v>
      </c>
      <c r="C24" s="54">
        <v>1</v>
      </c>
      <c r="D24" s="168" t="s">
        <v>33</v>
      </c>
      <c r="F24" s="54">
        <v>1</v>
      </c>
      <c r="G24" s="389" t="s">
        <v>34</v>
      </c>
      <c r="H24" s="389"/>
      <c r="I24" s="179"/>
      <c r="J24" s="179"/>
      <c r="K24" s="179"/>
      <c r="L24" s="179"/>
      <c r="M24" s="179"/>
      <c r="N24" s="179"/>
      <c r="O24" s="179"/>
      <c r="P24" s="179"/>
    </row>
    <row r="25" spans="2:16" ht="74.25" customHeight="1" thickBot="1" x14ac:dyDescent="0.35">
      <c r="B25" s="401"/>
      <c r="C25" s="54">
        <v>2</v>
      </c>
      <c r="D25" s="168" t="s">
        <v>35</v>
      </c>
      <c r="E25" s="179"/>
      <c r="F25" s="54">
        <v>2</v>
      </c>
      <c r="G25" s="389" t="s">
        <v>36</v>
      </c>
      <c r="H25" s="389"/>
      <c r="I25" s="179"/>
      <c r="J25" s="179"/>
      <c r="K25" s="179"/>
      <c r="L25" s="179"/>
      <c r="M25" s="179"/>
      <c r="N25" s="179"/>
      <c r="O25" s="179"/>
      <c r="P25" s="179"/>
    </row>
    <row r="26" spans="2:16" s="179" customFormat="1" ht="85.5" customHeight="1" thickBot="1" x14ac:dyDescent="0.35">
      <c r="B26" s="401"/>
      <c r="C26" s="54">
        <v>3</v>
      </c>
      <c r="D26" s="168" t="s">
        <v>37</v>
      </c>
      <c r="E26" s="170"/>
      <c r="F26" s="54">
        <v>3</v>
      </c>
      <c r="G26" s="389" t="s">
        <v>38</v>
      </c>
      <c r="H26" s="389"/>
      <c r="I26" s="180"/>
      <c r="J26" s="180"/>
      <c r="K26" s="180"/>
      <c r="L26" s="180"/>
      <c r="M26" s="180"/>
      <c r="N26" s="180"/>
      <c r="O26" s="180"/>
      <c r="P26" s="180"/>
    </row>
    <row r="27" spans="2:16" s="170" customFormat="1" ht="60.75" customHeight="1" thickBot="1" x14ac:dyDescent="0.4">
      <c r="B27" s="401"/>
      <c r="C27" s="54">
        <v>4</v>
      </c>
      <c r="D27" s="168" t="s">
        <v>39</v>
      </c>
      <c r="F27" s="54">
        <v>4</v>
      </c>
      <c r="G27" s="389" t="s">
        <v>40</v>
      </c>
      <c r="H27" s="389"/>
      <c r="I27" s="180"/>
      <c r="J27" s="180"/>
      <c r="K27" s="180"/>
      <c r="L27" s="180"/>
      <c r="M27" s="180"/>
      <c r="N27" s="180"/>
      <c r="O27" s="180"/>
      <c r="P27" s="180"/>
    </row>
    <row r="28" spans="2:16" s="170" customFormat="1" ht="84.75" customHeight="1" thickBot="1" x14ac:dyDescent="0.4">
      <c r="B28" s="401"/>
      <c r="C28" s="54">
        <v>5</v>
      </c>
      <c r="D28" s="168" t="s">
        <v>41</v>
      </c>
      <c r="F28" s="54">
        <v>5</v>
      </c>
      <c r="G28" s="389" t="s">
        <v>42</v>
      </c>
      <c r="H28" s="389"/>
      <c r="I28" s="180"/>
      <c r="J28" s="180"/>
      <c r="K28" s="180"/>
      <c r="L28" s="180"/>
      <c r="M28" s="180"/>
      <c r="N28" s="180"/>
      <c r="O28" s="180"/>
      <c r="P28" s="180"/>
    </row>
    <row r="29" spans="2:16" s="170" customFormat="1" ht="126.75" customHeight="1" thickBot="1" x14ac:dyDescent="0.35">
      <c r="B29" s="401"/>
      <c r="C29" s="54">
        <v>6</v>
      </c>
      <c r="D29" s="168" t="s">
        <v>43</v>
      </c>
      <c r="E29" s="169"/>
      <c r="F29" s="54">
        <v>6</v>
      </c>
      <c r="G29" s="389" t="s">
        <v>44</v>
      </c>
      <c r="H29" s="389"/>
      <c r="I29" s="180"/>
      <c r="J29" s="180"/>
      <c r="K29" s="180"/>
      <c r="L29" s="180"/>
      <c r="M29" s="180"/>
      <c r="N29" s="180"/>
      <c r="O29" s="180"/>
      <c r="P29" s="180"/>
    </row>
    <row r="30" spans="2:16" thickBot="1" x14ac:dyDescent="0.35">
      <c r="H30" s="180"/>
      <c r="I30" s="180"/>
      <c r="J30" s="180"/>
      <c r="K30" s="180"/>
      <c r="L30" s="180"/>
      <c r="M30" s="180"/>
      <c r="N30" s="180"/>
      <c r="O30" s="180"/>
      <c r="P30" s="180"/>
    </row>
    <row r="31" spans="2:16" ht="31.5" customHeight="1" thickBot="1" x14ac:dyDescent="0.35">
      <c r="B31" s="401" t="s">
        <v>45</v>
      </c>
      <c r="C31" s="54">
        <v>1</v>
      </c>
      <c r="D31" s="55" t="s">
        <v>46</v>
      </c>
      <c r="E31" s="56"/>
      <c r="F31" s="54">
        <v>1</v>
      </c>
      <c r="G31" s="390" t="s">
        <v>47</v>
      </c>
      <c r="H31" s="390"/>
      <c r="I31" s="180"/>
      <c r="J31" s="180"/>
      <c r="K31" s="180"/>
      <c r="L31" s="180"/>
      <c r="M31" s="180"/>
      <c r="N31" s="180"/>
      <c r="O31" s="180"/>
      <c r="P31" s="180"/>
    </row>
    <row r="32" spans="2:16" ht="31.5" customHeight="1" thickBot="1" x14ac:dyDescent="0.35">
      <c r="B32" s="401"/>
      <c r="C32" s="54">
        <v>2</v>
      </c>
      <c r="D32" s="57" t="s">
        <v>48</v>
      </c>
      <c r="E32" s="56"/>
      <c r="F32" s="54">
        <v>2</v>
      </c>
      <c r="G32" s="388" t="s">
        <v>49</v>
      </c>
      <c r="H32" s="388"/>
    </row>
    <row r="33" spans="1:8" ht="31.5" customHeight="1" thickBot="1" x14ac:dyDescent="0.35">
      <c r="B33" s="401"/>
      <c r="C33" s="54">
        <v>3</v>
      </c>
      <c r="D33" s="369" t="s">
        <v>564</v>
      </c>
      <c r="E33" s="56"/>
      <c r="F33" s="54">
        <v>3</v>
      </c>
      <c r="G33" s="391" t="s">
        <v>565</v>
      </c>
      <c r="H33" s="392"/>
    </row>
    <row r="34" spans="1:8" ht="31.5" customHeight="1" thickBot="1" x14ac:dyDescent="0.35">
      <c r="B34" s="401"/>
      <c r="C34" s="54">
        <v>4</v>
      </c>
      <c r="D34" s="58" t="s">
        <v>50</v>
      </c>
      <c r="E34" s="56"/>
      <c r="F34" s="54">
        <v>4</v>
      </c>
      <c r="G34" s="389" t="s">
        <v>51</v>
      </c>
      <c r="H34" s="389"/>
    </row>
    <row r="36" spans="1:8" thickBot="1" x14ac:dyDescent="0.35">
      <c r="B36" s="183"/>
      <c r="C36" s="183"/>
      <c r="D36" s="183"/>
    </row>
    <row r="37" spans="1:8" thickBot="1" x14ac:dyDescent="0.35">
      <c r="A37" s="181"/>
      <c r="B37" s="185"/>
      <c r="C37" s="185"/>
      <c r="D37" s="186"/>
      <c r="E37" s="182"/>
    </row>
    <row r="38" spans="1:8" ht="36" customHeight="1" thickBot="1" x14ac:dyDescent="0.35">
      <c r="A38" s="181"/>
      <c r="B38" s="399" t="s">
        <v>52</v>
      </c>
      <c r="C38" s="399"/>
      <c r="D38" s="399"/>
      <c r="E38" s="182"/>
    </row>
    <row r="39" spans="1:8" thickBot="1" x14ac:dyDescent="0.35">
      <c r="A39" s="181"/>
      <c r="B39" s="188"/>
      <c r="C39" s="188"/>
      <c r="D39" s="187"/>
      <c r="E39" s="182"/>
    </row>
    <row r="40" spans="1:8" thickBot="1" x14ac:dyDescent="0.35">
      <c r="A40" s="181"/>
      <c r="B40" s="188" t="s">
        <v>53</v>
      </c>
      <c r="C40" s="189"/>
      <c r="D40" s="189"/>
      <c r="E40" s="182"/>
    </row>
    <row r="41" spans="1:8" thickBot="1" x14ac:dyDescent="0.35">
      <c r="A41" s="181"/>
      <c r="B41" s="188" t="s">
        <v>54</v>
      </c>
      <c r="C41" s="188"/>
      <c r="D41" s="187"/>
      <c r="E41" s="182"/>
    </row>
    <row r="42" spans="1:8" thickBot="1" x14ac:dyDescent="0.35">
      <c r="A42" s="181"/>
      <c r="B42" s="188" t="s">
        <v>55</v>
      </c>
      <c r="C42" s="188"/>
      <c r="D42" s="187"/>
      <c r="E42" s="182"/>
    </row>
    <row r="43" spans="1:8" thickBot="1" x14ac:dyDescent="0.35">
      <c r="A43" s="181"/>
      <c r="B43" s="190" t="s">
        <v>56</v>
      </c>
      <c r="C43" s="188"/>
      <c r="D43" s="187"/>
      <c r="E43" s="182"/>
    </row>
    <row r="44" spans="1:8" thickBot="1" x14ac:dyDescent="0.35">
      <c r="A44" s="181"/>
      <c r="B44" s="188" t="s">
        <v>57</v>
      </c>
      <c r="C44" s="188"/>
      <c r="D44" s="187"/>
      <c r="E44" s="182"/>
    </row>
    <row r="45" spans="1:8" thickBot="1" x14ac:dyDescent="0.35">
      <c r="A45" s="181"/>
      <c r="B45" s="188" t="s">
        <v>58</v>
      </c>
      <c r="C45" s="188"/>
      <c r="D45" s="187"/>
      <c r="E45" s="182"/>
    </row>
    <row r="46" spans="1:8" thickBot="1" x14ac:dyDescent="0.35">
      <c r="A46" s="181"/>
      <c r="B46" s="188" t="s">
        <v>59</v>
      </c>
      <c r="C46" s="188"/>
      <c r="D46" s="187"/>
      <c r="E46" s="182"/>
    </row>
    <row r="47" spans="1:8" thickBot="1" x14ac:dyDescent="0.35">
      <c r="A47" s="181"/>
      <c r="B47" s="188"/>
      <c r="C47" s="191"/>
      <c r="D47" s="187"/>
      <c r="E47" s="182"/>
    </row>
    <row r="48" spans="1:8" thickBot="1" x14ac:dyDescent="0.35">
      <c r="A48" s="181"/>
      <c r="B48" s="188" t="s">
        <v>60</v>
      </c>
      <c r="C48" s="192"/>
      <c r="D48" s="187"/>
      <c r="E48" s="182"/>
    </row>
    <row r="49" spans="1:5" thickBot="1" x14ac:dyDescent="0.35">
      <c r="A49" s="181"/>
      <c r="B49" s="190" t="s">
        <v>61</v>
      </c>
      <c r="C49" s="187"/>
      <c r="D49" s="187"/>
      <c r="E49" s="182"/>
    </row>
    <row r="50" spans="1:5" thickBot="1" x14ac:dyDescent="0.35">
      <c r="A50" s="181"/>
      <c r="B50" s="188" t="s">
        <v>62</v>
      </c>
      <c r="C50" s="187"/>
      <c r="D50" s="187"/>
      <c r="E50" s="182"/>
    </row>
    <row r="51" spans="1:5" thickBot="1" x14ac:dyDescent="0.35">
      <c r="A51" s="181"/>
      <c r="B51" s="188" t="s">
        <v>63</v>
      </c>
      <c r="C51" s="188"/>
      <c r="D51" s="187"/>
      <c r="E51" s="182"/>
    </row>
    <row r="52" spans="1:5" thickBot="1" x14ac:dyDescent="0.35">
      <c r="A52" s="181"/>
      <c r="B52" s="188" t="s">
        <v>64</v>
      </c>
      <c r="C52" s="188"/>
      <c r="D52" s="187"/>
      <c r="E52" s="182"/>
    </row>
    <row r="53" spans="1:5" thickBot="1" x14ac:dyDescent="0.35">
      <c r="A53" s="181"/>
      <c r="B53" s="188" t="s">
        <v>65</v>
      </c>
      <c r="C53" s="188"/>
      <c r="D53" s="187"/>
      <c r="E53" s="182"/>
    </row>
    <row r="54" spans="1:5" thickBot="1" x14ac:dyDescent="0.35">
      <c r="A54" s="181"/>
      <c r="B54" s="188"/>
      <c r="C54" s="188"/>
      <c r="D54" s="187"/>
      <c r="E54" s="182"/>
    </row>
    <row r="55" spans="1:5" thickBot="1" x14ac:dyDescent="0.35">
      <c r="A55" s="181"/>
      <c r="B55" s="188" t="s">
        <v>66</v>
      </c>
      <c r="C55" s="188"/>
      <c r="D55" s="187"/>
      <c r="E55" s="182"/>
    </row>
    <row r="56" spans="1:5" thickBot="1" x14ac:dyDescent="0.35">
      <c r="A56" s="181"/>
      <c r="B56" s="190" t="s">
        <v>67</v>
      </c>
      <c r="C56" s="188"/>
      <c r="D56" s="187"/>
      <c r="E56" s="182"/>
    </row>
    <row r="57" spans="1:5" thickBot="1" x14ac:dyDescent="0.35">
      <c r="A57" s="181"/>
      <c r="B57" s="188" t="s">
        <v>68</v>
      </c>
      <c r="C57" s="188"/>
      <c r="D57" s="187"/>
      <c r="E57" s="182"/>
    </row>
    <row r="58" spans="1:5" thickBot="1" x14ac:dyDescent="0.35">
      <c r="A58" s="181"/>
      <c r="B58" s="188" t="s">
        <v>69</v>
      </c>
      <c r="C58" s="188"/>
      <c r="D58" s="187"/>
      <c r="E58" s="182"/>
    </row>
    <row r="59" spans="1:5" thickBot="1" x14ac:dyDescent="0.35">
      <c r="A59" s="181"/>
      <c r="B59" s="188" t="s">
        <v>70</v>
      </c>
      <c r="C59" s="188"/>
      <c r="D59" s="187"/>
      <c r="E59" s="182"/>
    </row>
    <row r="60" spans="1:5" thickBot="1" x14ac:dyDescent="0.35">
      <c r="A60" s="181"/>
      <c r="B60" s="188"/>
      <c r="C60" s="188"/>
      <c r="D60" s="187"/>
      <c r="E60" s="182"/>
    </row>
    <row r="61" spans="1:5" thickBot="1" x14ac:dyDescent="0.35">
      <c r="A61" s="181"/>
      <c r="B61" s="283" t="s">
        <v>598</v>
      </c>
      <c r="C61" s="188"/>
      <c r="D61" s="187"/>
      <c r="E61" s="182"/>
    </row>
    <row r="62" spans="1:5" thickBot="1" x14ac:dyDescent="0.35">
      <c r="A62" s="181"/>
      <c r="B62" s="188"/>
      <c r="C62" s="188"/>
      <c r="D62" s="187"/>
      <c r="E62" s="182"/>
    </row>
    <row r="63" spans="1:5" thickBot="1" x14ac:dyDescent="0.35">
      <c r="B63" s="184"/>
      <c r="C63" s="184"/>
      <c r="D63" s="184"/>
    </row>
    <row r="64" spans="1:5" ht="14" x14ac:dyDescent="0.3"/>
    <row r="65" spans="2:2" thickBot="1" x14ac:dyDescent="0.35">
      <c r="B65" s="300" t="s">
        <v>71</v>
      </c>
    </row>
    <row r="66" spans="2:2" thickBot="1" x14ac:dyDescent="0.35">
      <c r="B66" s="367" t="s">
        <v>72</v>
      </c>
    </row>
  </sheetData>
  <sheetProtection algorithmName="SHA-512" hashValue="zPx2lvTB0i8fRqfEJFyW/WeFIUD5Tb7A2Dqf7mnUbY6irGosy71t6ZtaLTULwi6N40wvaeT3HjSY69jKtEb7xg==" saltValue="u03kyudZVx3Ip8yvLUAApQ==" spinCount="100000" sheet="1" formatCells="0"/>
  <mergeCells count="32">
    <mergeCell ref="B7:B11"/>
    <mergeCell ref="G11:H11"/>
    <mergeCell ref="G20:H20"/>
    <mergeCell ref="B38:D38"/>
    <mergeCell ref="F2:H2"/>
    <mergeCell ref="B31:B34"/>
    <mergeCell ref="B2:D2"/>
    <mergeCell ref="B19:B22"/>
    <mergeCell ref="B24:B29"/>
    <mergeCell ref="B13:B17"/>
    <mergeCell ref="G14:H14"/>
    <mergeCell ref="G15:H15"/>
    <mergeCell ref="G16:H16"/>
    <mergeCell ref="G17:H17"/>
    <mergeCell ref="G19:H19"/>
    <mergeCell ref="G7:H7"/>
    <mergeCell ref="G25:H25"/>
    <mergeCell ref="G8:H8"/>
    <mergeCell ref="G9:H9"/>
    <mergeCell ref="G10:H10"/>
    <mergeCell ref="G13:H13"/>
    <mergeCell ref="G21:H21"/>
    <mergeCell ref="G22:H22"/>
    <mergeCell ref="G24:H24"/>
    <mergeCell ref="G32:H32"/>
    <mergeCell ref="G34:H34"/>
    <mergeCell ref="G26:H26"/>
    <mergeCell ref="G27:H27"/>
    <mergeCell ref="G28:H28"/>
    <mergeCell ref="G29:H29"/>
    <mergeCell ref="G31:H31"/>
    <mergeCell ref="G33:H33"/>
  </mergeCells>
  <pageMargins left="0.7" right="0.7" top="0.75" bottom="0.75" header="0.3" footer="0.3"/>
  <pageSetup paperSize="9" scale="37" orientation="portrait" r:id="rId1"/>
  <ignoredErrors>
    <ignoredError sqref="D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5183-6FAA-42DC-B0A6-5148B4B486DB}">
  <sheetPr codeName="Sheet2">
    <tabColor rgb="FFC00000"/>
  </sheetPr>
  <dimension ref="B1:AA167"/>
  <sheetViews>
    <sheetView showGridLines="0" zoomScale="90" zoomScaleNormal="90" zoomScaleSheetLayoutView="25" workbookViewId="0">
      <selection activeCell="D24" sqref="D24"/>
    </sheetView>
  </sheetViews>
  <sheetFormatPr defaultColWidth="8.453125" defaultRowHeight="14" x14ac:dyDescent="0.3"/>
  <cols>
    <col min="1" max="2" width="4.453125" style="16" customWidth="1"/>
    <col min="3" max="3" width="52.453125" style="16" bestFit="1" customWidth="1"/>
    <col min="4" max="4" width="25" style="17" customWidth="1"/>
    <col min="5" max="5" width="7.453125" style="16" customWidth="1"/>
    <col min="6" max="6" width="8.453125" style="16" customWidth="1"/>
    <col min="7" max="7" width="10.453125" style="16" bestFit="1" customWidth="1"/>
    <col min="8" max="8" width="9.453125" style="16" bestFit="1" customWidth="1"/>
    <col min="9" max="17" width="8.453125" style="16"/>
    <col min="18" max="18" width="15.453125" style="16" customWidth="1"/>
    <col min="19" max="16384" width="8.453125" style="16"/>
  </cols>
  <sheetData>
    <row r="1" spans="2:22" ht="85.5" customHeight="1" thickBot="1" x14ac:dyDescent="0.35"/>
    <row r="2" spans="2:22" ht="35" customHeight="1" thickBot="1" x14ac:dyDescent="0.35">
      <c r="B2" s="422" t="s">
        <v>73</v>
      </c>
      <c r="C2" s="423"/>
      <c r="D2" s="424"/>
      <c r="F2" s="431" t="s">
        <v>74</v>
      </c>
      <c r="G2" s="432"/>
      <c r="H2" s="432"/>
      <c r="I2" s="432"/>
      <c r="J2" s="432"/>
      <c r="K2" s="432"/>
    </row>
    <row r="3" spans="2:22" ht="14.5" thickBot="1" x14ac:dyDescent="0.35"/>
    <row r="4" spans="2:22" ht="25" customHeight="1" thickBot="1" x14ac:dyDescent="0.35">
      <c r="B4" s="49"/>
      <c r="C4" s="401" t="s">
        <v>75</v>
      </c>
      <c r="D4" s="425"/>
      <c r="E4" s="50"/>
      <c r="F4" s="425" t="s">
        <v>76</v>
      </c>
      <c r="G4" s="426"/>
      <c r="H4" s="426"/>
      <c r="I4" s="426"/>
      <c r="J4" s="426"/>
      <c r="K4" s="426"/>
    </row>
    <row r="5" spans="2:22" ht="15" customHeight="1" thickBot="1" x14ac:dyDescent="0.35">
      <c r="B5" s="11"/>
      <c r="C5" s="51" t="s">
        <v>77</v>
      </c>
      <c r="D5" s="113" t="s">
        <v>576</v>
      </c>
      <c r="F5" s="418" t="s">
        <v>78</v>
      </c>
      <c r="G5" s="419"/>
      <c r="H5" s="419"/>
      <c r="I5" s="419"/>
      <c r="J5" s="419"/>
      <c r="K5" s="419"/>
      <c r="Q5" s="15"/>
      <c r="R5" s="15"/>
      <c r="S5" s="15"/>
      <c r="T5" s="15"/>
      <c r="U5" s="15"/>
      <c r="V5" s="15"/>
    </row>
    <row r="6" spans="2:22" ht="14.5" thickBot="1" x14ac:dyDescent="0.35">
      <c r="B6" s="11"/>
      <c r="C6" s="51" t="s">
        <v>79</v>
      </c>
      <c r="D6" s="113">
        <v>100</v>
      </c>
      <c r="F6" s="418" t="s">
        <v>80</v>
      </c>
      <c r="G6" s="419"/>
      <c r="H6" s="419"/>
      <c r="I6" s="419"/>
      <c r="J6" s="419"/>
      <c r="K6" s="419"/>
      <c r="R6" s="17"/>
    </row>
    <row r="7" spans="2:22" ht="14.5" thickBot="1" x14ac:dyDescent="0.35">
      <c r="B7" s="11"/>
      <c r="C7" s="51" t="s">
        <v>559</v>
      </c>
      <c r="D7" s="339">
        <f>SUM(D52:D59)</f>
        <v>21</v>
      </c>
      <c r="F7" s="418" t="s">
        <v>558</v>
      </c>
      <c r="G7" s="419"/>
      <c r="H7" s="419"/>
      <c r="I7" s="419"/>
      <c r="J7" s="419"/>
      <c r="K7" s="419"/>
      <c r="R7" s="17"/>
    </row>
    <row r="8" spans="2:22" ht="14.5" thickBot="1" x14ac:dyDescent="0.35">
      <c r="B8" s="11"/>
      <c r="C8" s="51" t="s">
        <v>81</v>
      </c>
      <c r="D8" s="278" t="s">
        <v>577</v>
      </c>
      <c r="F8" s="418" t="s">
        <v>82</v>
      </c>
      <c r="G8" s="419"/>
      <c r="H8" s="419"/>
      <c r="I8" s="419"/>
      <c r="J8" s="419"/>
      <c r="K8" s="419"/>
    </row>
    <row r="9" spans="2:22" ht="14.5" thickBot="1" x14ac:dyDescent="0.35">
      <c r="B9" s="11"/>
      <c r="C9" s="51" t="s">
        <v>83</v>
      </c>
      <c r="D9" s="113">
        <v>9812341234</v>
      </c>
      <c r="F9" s="418" t="s">
        <v>84</v>
      </c>
      <c r="G9" s="419"/>
      <c r="H9" s="419"/>
      <c r="I9" s="419"/>
      <c r="J9" s="419"/>
      <c r="K9" s="419"/>
      <c r="L9" s="281"/>
      <c r="M9" s="282"/>
      <c r="N9" s="282"/>
      <c r="O9" s="282"/>
      <c r="P9" s="282"/>
      <c r="Q9" s="282"/>
    </row>
    <row r="10" spans="2:22" ht="14.5" thickBot="1" x14ac:dyDescent="0.35">
      <c r="B10" s="11"/>
      <c r="C10" s="51" t="s">
        <v>85</v>
      </c>
      <c r="D10" s="113" t="s">
        <v>578</v>
      </c>
      <c r="F10" s="418" t="s">
        <v>86</v>
      </c>
      <c r="G10" s="419"/>
      <c r="H10" s="419"/>
      <c r="I10" s="419"/>
      <c r="J10" s="419"/>
      <c r="K10" s="419"/>
    </row>
    <row r="11" spans="2:22" ht="14.5" thickBot="1" x14ac:dyDescent="0.35">
      <c r="B11" s="11"/>
      <c r="C11" s="51" t="s">
        <v>87</v>
      </c>
      <c r="D11" s="113" t="s">
        <v>579</v>
      </c>
      <c r="F11" s="418" t="s">
        <v>88</v>
      </c>
      <c r="G11" s="419"/>
      <c r="H11" s="419"/>
      <c r="I11" s="419"/>
      <c r="J11" s="419"/>
      <c r="K11" s="419"/>
    </row>
    <row r="12" spans="2:22" ht="14.5" thickBot="1" x14ac:dyDescent="0.35">
      <c r="B12" s="11"/>
      <c r="C12" s="51" t="s">
        <v>89</v>
      </c>
      <c r="D12" s="113" t="s">
        <v>580</v>
      </c>
      <c r="F12" s="418" t="s">
        <v>90</v>
      </c>
      <c r="G12" s="419"/>
      <c r="H12" s="419"/>
      <c r="I12" s="419"/>
      <c r="J12" s="419"/>
      <c r="K12" s="419"/>
    </row>
    <row r="13" spans="2:22" ht="14.5" thickBot="1" x14ac:dyDescent="0.35">
      <c r="B13" s="11"/>
      <c r="C13" s="51" t="s">
        <v>91</v>
      </c>
      <c r="D13" s="113">
        <v>10</v>
      </c>
      <c r="F13" s="418" t="s">
        <v>92</v>
      </c>
      <c r="G13" s="419"/>
      <c r="H13" s="419"/>
      <c r="I13" s="419"/>
      <c r="J13" s="419"/>
      <c r="K13" s="419"/>
    </row>
    <row r="14" spans="2:22" ht="14.5" thickBot="1" x14ac:dyDescent="0.35">
      <c r="B14" s="11"/>
      <c r="C14" s="51" t="s">
        <v>93</v>
      </c>
      <c r="D14" s="113" t="s">
        <v>581</v>
      </c>
      <c r="F14" s="418" t="s">
        <v>94</v>
      </c>
      <c r="G14" s="419"/>
      <c r="H14" s="419"/>
      <c r="I14" s="419"/>
      <c r="J14" s="419"/>
      <c r="K14" s="419"/>
    </row>
    <row r="15" spans="2:22" ht="14.5" thickBot="1" x14ac:dyDescent="0.35">
      <c r="B15" s="12"/>
      <c r="C15" s="52"/>
      <c r="D15" s="13"/>
    </row>
    <row r="16" spans="2:22" ht="25" customHeight="1" thickBot="1" x14ac:dyDescent="0.35">
      <c r="B16" s="49"/>
      <c r="C16" s="401" t="s">
        <v>95</v>
      </c>
      <c r="D16" s="425"/>
      <c r="E16" s="47"/>
      <c r="F16" s="427" t="s">
        <v>96</v>
      </c>
      <c r="G16" s="428"/>
      <c r="H16" s="428"/>
      <c r="I16" s="428"/>
      <c r="J16" s="428"/>
      <c r="K16" s="428"/>
      <c r="M16" s="407"/>
      <c r="N16" s="407"/>
      <c r="O16" s="407"/>
      <c r="P16" s="407"/>
      <c r="Q16" s="407"/>
      <c r="R16" s="407"/>
    </row>
    <row r="17" spans="2:26" ht="14.5" thickBot="1" x14ac:dyDescent="0.35">
      <c r="B17" s="11"/>
      <c r="C17" s="51" t="s">
        <v>97</v>
      </c>
      <c r="D17" s="113" t="s">
        <v>582</v>
      </c>
      <c r="F17" s="418" t="s">
        <v>98</v>
      </c>
      <c r="G17" s="419"/>
      <c r="H17" s="419"/>
      <c r="I17" s="419"/>
      <c r="J17" s="419"/>
      <c r="K17" s="419"/>
    </row>
    <row r="18" spans="2:26" ht="14.5" thickBot="1" x14ac:dyDescent="0.35">
      <c r="B18" s="11"/>
      <c r="C18" s="51" t="s">
        <v>99</v>
      </c>
      <c r="D18" s="113" t="s">
        <v>100</v>
      </c>
      <c r="F18" s="418" t="s">
        <v>101</v>
      </c>
      <c r="G18" s="419"/>
      <c r="H18" s="419"/>
      <c r="I18" s="419"/>
      <c r="J18" s="419"/>
      <c r="K18" s="419"/>
    </row>
    <row r="19" spans="2:26" ht="14.5" thickBot="1" x14ac:dyDescent="0.35">
      <c r="B19" s="11"/>
      <c r="C19" s="51" t="s">
        <v>102</v>
      </c>
      <c r="D19" s="113" t="s">
        <v>583</v>
      </c>
      <c r="F19" s="418" t="s">
        <v>103</v>
      </c>
      <c r="G19" s="419"/>
      <c r="H19" s="419"/>
      <c r="I19" s="419"/>
      <c r="J19" s="419"/>
      <c r="K19" s="419"/>
    </row>
    <row r="20" spans="2:26" ht="14.5" thickBot="1" x14ac:dyDescent="0.35">
      <c r="B20" s="11"/>
      <c r="C20" s="51" t="s">
        <v>104</v>
      </c>
      <c r="D20" s="343">
        <f ca="1">TODAY()</f>
        <v>45394</v>
      </c>
      <c r="F20" s="418" t="s">
        <v>105</v>
      </c>
      <c r="G20" s="419"/>
      <c r="H20" s="419"/>
      <c r="I20" s="419"/>
      <c r="J20" s="419"/>
      <c r="K20" s="419"/>
    </row>
    <row r="21" spans="2:26" ht="14.5" thickBot="1" x14ac:dyDescent="0.35"/>
    <row r="22" spans="2:26" ht="25" customHeight="1" thickBot="1" x14ac:dyDescent="0.35">
      <c r="B22" s="14"/>
      <c r="C22" s="401" t="s">
        <v>584</v>
      </c>
      <c r="D22" s="401"/>
      <c r="F22" s="427" t="s">
        <v>106</v>
      </c>
      <c r="G22" s="428"/>
      <c r="H22" s="428"/>
      <c r="I22" s="428"/>
      <c r="J22" s="428"/>
      <c r="K22" s="428"/>
    </row>
    <row r="23" spans="2:26" ht="18" customHeight="1" thickBot="1" x14ac:dyDescent="0.35">
      <c r="B23" s="11"/>
      <c r="C23" s="104" t="s">
        <v>107</v>
      </c>
      <c r="D23" s="113">
        <v>100</v>
      </c>
      <c r="F23" s="418" t="s">
        <v>108</v>
      </c>
      <c r="G23" s="419"/>
      <c r="H23" s="419"/>
      <c r="I23" s="419"/>
      <c r="J23" s="419"/>
      <c r="K23" s="419"/>
      <c r="P23" s="52"/>
      <c r="T23" s="194"/>
      <c r="U23" s="195"/>
      <c r="V23" s="195"/>
      <c r="W23" s="195"/>
      <c r="X23" s="195"/>
      <c r="Y23" s="195"/>
      <c r="Z23" s="195"/>
    </row>
    <row r="24" spans="2:26" ht="18" customHeight="1" thickBot="1" x14ac:dyDescent="0.35">
      <c r="B24" s="11"/>
      <c r="C24" s="104" t="s">
        <v>109</v>
      </c>
      <c r="D24" s="114" t="s">
        <v>110</v>
      </c>
      <c r="F24" s="418" t="s">
        <v>111</v>
      </c>
      <c r="G24" s="419"/>
      <c r="H24" s="419"/>
      <c r="I24" s="419"/>
      <c r="J24" s="419"/>
      <c r="K24" s="419"/>
      <c r="P24" s="52"/>
      <c r="T24" s="194"/>
      <c r="U24" s="195"/>
      <c r="V24" s="195"/>
      <c r="W24" s="195"/>
      <c r="X24" s="195"/>
      <c r="Y24" s="195"/>
      <c r="Z24" s="195"/>
    </row>
    <row r="25" spans="2:26" ht="18" customHeight="1" thickBot="1" x14ac:dyDescent="0.35">
      <c r="B25" s="11"/>
      <c r="C25" s="104" t="s">
        <v>557</v>
      </c>
      <c r="D25" s="212">
        <f>IF(D24="Single Phase",230,400)</f>
        <v>400</v>
      </c>
      <c r="F25" s="418" t="s">
        <v>112</v>
      </c>
      <c r="G25" s="419"/>
      <c r="H25" s="419"/>
      <c r="I25" s="419"/>
      <c r="J25" s="419"/>
      <c r="K25" s="419"/>
      <c r="P25" s="52"/>
      <c r="T25" s="194"/>
      <c r="U25" s="195"/>
      <c r="V25" s="195"/>
      <c r="W25" s="195"/>
      <c r="X25" s="195"/>
      <c r="Y25" s="195"/>
      <c r="Z25" s="195"/>
    </row>
    <row r="26" spans="2:26" ht="25.5" thickBot="1" x14ac:dyDescent="0.35">
      <c r="B26" s="11"/>
      <c r="C26" s="104" t="s">
        <v>113</v>
      </c>
      <c r="D26" s="113">
        <v>100</v>
      </c>
      <c r="F26" s="418" t="s">
        <v>114</v>
      </c>
      <c r="G26" s="419"/>
      <c r="H26" s="419"/>
      <c r="I26" s="419"/>
      <c r="J26" s="419"/>
      <c r="K26" s="419"/>
    </row>
    <row r="27" spans="2:26" ht="18" customHeight="1" thickBot="1" x14ac:dyDescent="0.35">
      <c r="B27" s="11"/>
      <c r="C27" s="51" t="s">
        <v>115</v>
      </c>
      <c r="D27" s="113">
        <v>25</v>
      </c>
      <c r="F27" s="418" t="s">
        <v>116</v>
      </c>
      <c r="G27" s="419"/>
      <c r="H27" s="419"/>
      <c r="I27" s="419"/>
      <c r="J27" s="419"/>
      <c r="K27" s="419"/>
    </row>
    <row r="28" spans="2:26" ht="18" customHeight="1" thickBot="1" x14ac:dyDescent="0.35">
      <c r="B28" s="11"/>
      <c r="C28" s="51" t="s">
        <v>117</v>
      </c>
      <c r="D28" s="114" t="s">
        <v>591</v>
      </c>
      <c r="F28" s="418" t="s">
        <v>118</v>
      </c>
      <c r="G28" s="419"/>
      <c r="H28" s="419"/>
      <c r="I28" s="419"/>
      <c r="J28" s="419"/>
      <c r="K28" s="419"/>
    </row>
    <row r="29" spans="2:26" ht="19.25" customHeight="1" thickBot="1" x14ac:dyDescent="0.35">
      <c r="B29" s="11"/>
      <c r="C29" s="51" t="s">
        <v>119</v>
      </c>
      <c r="D29" s="113">
        <v>5000</v>
      </c>
      <c r="F29" s="418" t="s">
        <v>120</v>
      </c>
      <c r="G29" s="419"/>
      <c r="H29" s="419"/>
      <c r="I29" s="419"/>
      <c r="J29" s="419"/>
      <c r="K29" s="419"/>
    </row>
    <row r="30" spans="2:26" ht="18" customHeight="1" thickBot="1" x14ac:dyDescent="0.35">
      <c r="B30" s="11"/>
      <c r="C30" s="51" t="s">
        <v>121</v>
      </c>
      <c r="D30" s="344">
        <f>IF(D28="known", D29, IF('Backend Design '!W77="Connection",
(IF(AND(D28="Unknown", (D6+D7)&lt;'Backend Design '!M83),
    'Backend Design '!S87*('2. Inputs'!D6+'2. Inputs'!D7),
IF(AND(D28="Unknown", (D6+D7)&gt;='Backend Design '!M83, (D6+D7)&lt;'Backend Design '!N83),
    'Backend Design '!S88*('2. Inputs'!D6+'2. Inputs'!D7),
IF(AND(D28="Unknown", (D6+D7)&gt;='Backend Design '!N83),
    'Backend Design '!S89*('2. Inputs'!D6+'2. Inputs'!D7),
"")))), (IF(AND(D28="Unknown", ('Backend Design '!D24)&lt;'Backend Design '!X83),
    'Backend Design '!AE87*('Backend Design '!D24),
IF(AND(D28="Unknown", ('Backend Design '!D24)&gt;='Backend Design '!X83, ('Backend Design '!D24)&lt;'Backend Design '!Y83),
    'Backend Design '!AE88*('Backend Design '!D24),
IF(AND(D28="Unknown", ('Backend Design '!D24)&gt;='Backend Design '!Y83),
    'Backend Design '!AE89*('Backend Design '!D24),
""))))) *1000)</f>
        <v>11715.682696700873</v>
      </c>
      <c r="F30" s="418" t="s">
        <v>122</v>
      </c>
      <c r="G30" s="419"/>
      <c r="H30" s="419"/>
      <c r="I30" s="419"/>
      <c r="J30" s="419"/>
      <c r="K30" s="419"/>
      <c r="N30" s="16" t="s">
        <v>531</v>
      </c>
    </row>
    <row r="31" spans="2:26" ht="17.5" customHeight="1" thickBot="1" x14ac:dyDescent="0.35">
      <c r="B31" s="11"/>
      <c r="C31" s="51" t="s">
        <v>123</v>
      </c>
      <c r="D31" s="345" t="s">
        <v>124</v>
      </c>
      <c r="E31" s="17"/>
      <c r="F31" s="418" t="s">
        <v>125</v>
      </c>
      <c r="G31" s="419"/>
      <c r="H31" s="419"/>
      <c r="I31" s="419"/>
      <c r="J31" s="419"/>
      <c r="K31" s="419"/>
    </row>
    <row r="32" spans="2:26" ht="14.5" thickBot="1" x14ac:dyDescent="0.35">
      <c r="B32" s="11"/>
      <c r="C32" s="51" t="s">
        <v>126</v>
      </c>
      <c r="D32" s="113">
        <v>150</v>
      </c>
      <c r="E32" s="53"/>
      <c r="F32" s="418" t="s">
        <v>555</v>
      </c>
      <c r="G32" s="419"/>
      <c r="H32" s="419"/>
      <c r="I32" s="419"/>
      <c r="J32" s="419"/>
      <c r="K32" s="419"/>
    </row>
    <row r="33" spans="2:27" ht="14.5" thickBot="1" x14ac:dyDescent="0.35">
      <c r="B33" s="11"/>
      <c r="C33" s="51" t="s">
        <v>127</v>
      </c>
      <c r="D33" s="113">
        <v>600</v>
      </c>
      <c r="E33" s="17"/>
      <c r="F33" s="418" t="s">
        <v>556</v>
      </c>
      <c r="G33" s="419"/>
      <c r="H33" s="419"/>
      <c r="I33" s="419"/>
      <c r="J33" s="419"/>
      <c r="K33" s="419"/>
    </row>
    <row r="34" spans="2:27" ht="14.5" thickBot="1" x14ac:dyDescent="0.35">
      <c r="B34" s="165"/>
      <c r="C34" s="166"/>
      <c r="E34" s="17"/>
    </row>
    <row r="35" spans="2:27" ht="18" customHeight="1" x14ac:dyDescent="0.3">
      <c r="B35" s="435" t="s">
        <v>566</v>
      </c>
      <c r="C35" s="436"/>
      <c r="D35" s="436"/>
      <c r="E35" s="17"/>
      <c r="F35" s="433" t="s">
        <v>567</v>
      </c>
      <c r="G35" s="434"/>
      <c r="H35" s="434"/>
      <c r="I35" s="434"/>
      <c r="J35" s="434"/>
      <c r="K35" s="434"/>
    </row>
    <row r="36" spans="2:27" ht="14.5" thickBot="1" x14ac:dyDescent="0.35">
      <c r="B36" s="332"/>
      <c r="C36" s="333"/>
      <c r="E36" s="17"/>
    </row>
    <row r="37" spans="2:27" ht="14.5" thickBot="1" x14ac:dyDescent="0.35">
      <c r="B37" s="332"/>
      <c r="C37" s="333"/>
      <c r="E37" s="17"/>
    </row>
    <row r="38" spans="2:27" ht="25" customHeight="1" thickBot="1" x14ac:dyDescent="0.35">
      <c r="B38" s="71"/>
      <c r="C38" s="420" t="s">
        <v>128</v>
      </c>
      <c r="D38" s="421"/>
      <c r="E38" s="421"/>
      <c r="F38" s="421"/>
      <c r="G38" s="421"/>
      <c r="H38" s="421"/>
      <c r="I38" s="421"/>
      <c r="J38" s="107"/>
      <c r="K38" s="59"/>
      <c r="L38" s="59"/>
      <c r="M38" s="59"/>
      <c r="N38" s="59"/>
      <c r="O38" s="59"/>
      <c r="P38" s="59"/>
      <c r="Q38" s="59"/>
      <c r="R38" s="59"/>
      <c r="S38" s="59"/>
      <c r="T38" s="59"/>
      <c r="U38" s="59"/>
      <c r="V38" s="59"/>
      <c r="W38" s="59"/>
      <c r="X38" s="59"/>
      <c r="Y38" s="59"/>
      <c r="Z38" s="59"/>
      <c r="AA38" s="59"/>
    </row>
    <row r="39" spans="2:27" ht="25.5" thickBot="1" x14ac:dyDescent="0.35">
      <c r="B39" s="60"/>
      <c r="C39" s="60" t="s">
        <v>129</v>
      </c>
      <c r="D39" s="61" t="s">
        <v>130</v>
      </c>
      <c r="E39" s="61" t="s">
        <v>131</v>
      </c>
      <c r="F39" s="62" t="s">
        <v>132</v>
      </c>
      <c r="G39" s="63" t="s">
        <v>133</v>
      </c>
      <c r="H39" s="416" t="s">
        <v>134</v>
      </c>
      <c r="I39" s="417"/>
    </row>
    <row r="40" spans="2:27" ht="15" customHeight="1" thickBot="1" x14ac:dyDescent="0.35">
      <c r="B40" s="61"/>
      <c r="C40" s="346" t="s">
        <v>135</v>
      </c>
      <c r="D40" s="112">
        <v>5</v>
      </c>
      <c r="E40" s="112">
        <v>10</v>
      </c>
      <c r="F40" s="64">
        <f t="shared" ref="F40:F45" si="0">D40*E40</f>
        <v>50</v>
      </c>
      <c r="G40" s="112">
        <v>1</v>
      </c>
      <c r="H40" s="404">
        <f t="shared" ref="H40:H45" si="1">D40*E40*G40</f>
        <v>50</v>
      </c>
      <c r="I40" s="405"/>
    </row>
    <row r="41" spans="2:27" ht="14.5" thickBot="1" x14ac:dyDescent="0.35">
      <c r="B41" s="61"/>
      <c r="C41" s="346" t="s">
        <v>136</v>
      </c>
      <c r="D41" s="112">
        <v>1</v>
      </c>
      <c r="E41" s="112">
        <v>80</v>
      </c>
      <c r="F41" s="64">
        <f t="shared" si="0"/>
        <v>80</v>
      </c>
      <c r="G41" s="112">
        <v>1</v>
      </c>
      <c r="H41" s="404">
        <f t="shared" si="1"/>
        <v>80</v>
      </c>
      <c r="I41" s="405"/>
    </row>
    <row r="42" spans="2:27" ht="14.5" thickBot="1" x14ac:dyDescent="0.35">
      <c r="B42" s="61"/>
      <c r="C42" s="346" t="s">
        <v>137</v>
      </c>
      <c r="D42" s="112">
        <v>1</v>
      </c>
      <c r="E42" s="112">
        <v>5</v>
      </c>
      <c r="F42" s="64">
        <f t="shared" si="0"/>
        <v>5</v>
      </c>
      <c r="G42" s="112">
        <v>1</v>
      </c>
      <c r="H42" s="404">
        <f t="shared" si="1"/>
        <v>5</v>
      </c>
      <c r="I42" s="405"/>
    </row>
    <row r="43" spans="2:27" ht="14.5" thickBot="1" x14ac:dyDescent="0.35">
      <c r="B43" s="61"/>
      <c r="C43" s="346" t="s">
        <v>138</v>
      </c>
      <c r="D43" s="112">
        <v>1</v>
      </c>
      <c r="E43" s="112">
        <v>5</v>
      </c>
      <c r="F43" s="64">
        <f t="shared" si="0"/>
        <v>5</v>
      </c>
      <c r="G43" s="112">
        <v>1</v>
      </c>
      <c r="H43" s="404">
        <f t="shared" si="1"/>
        <v>5</v>
      </c>
      <c r="I43" s="405"/>
    </row>
    <row r="44" spans="2:27" ht="14.5" thickBot="1" x14ac:dyDescent="0.35">
      <c r="B44" s="61"/>
      <c r="C44" s="346" t="s">
        <v>139</v>
      </c>
      <c r="D44" s="112">
        <v>1</v>
      </c>
      <c r="E44" s="112">
        <v>40</v>
      </c>
      <c r="F44" s="64">
        <f t="shared" si="0"/>
        <v>40</v>
      </c>
      <c r="G44" s="112">
        <v>1</v>
      </c>
      <c r="H44" s="404">
        <f t="shared" si="1"/>
        <v>40</v>
      </c>
      <c r="I44" s="405"/>
      <c r="M44" s="403"/>
      <c r="N44" s="403"/>
      <c r="O44" s="403"/>
      <c r="P44" s="403"/>
      <c r="Q44" s="403"/>
      <c r="R44" s="403"/>
      <c r="S44" s="403"/>
      <c r="T44" s="403"/>
    </row>
    <row r="45" spans="2:27" ht="14.5" thickBot="1" x14ac:dyDescent="0.35">
      <c r="B45" s="279"/>
      <c r="C45" s="347" t="s">
        <v>140</v>
      </c>
      <c r="D45" s="280">
        <v>1</v>
      </c>
      <c r="E45" s="280">
        <v>120</v>
      </c>
      <c r="F45" s="64">
        <f t="shared" si="0"/>
        <v>120</v>
      </c>
      <c r="G45" s="112">
        <v>1</v>
      </c>
      <c r="H45" s="404">
        <f t="shared" si="1"/>
        <v>120</v>
      </c>
      <c r="I45" s="405"/>
      <c r="M45" s="65"/>
      <c r="N45" s="65"/>
      <c r="O45" s="65"/>
      <c r="P45" s="65"/>
      <c r="Q45" s="65"/>
      <c r="R45" s="65"/>
      <c r="S45" s="65"/>
      <c r="T45" s="65"/>
    </row>
    <row r="46" spans="2:27" ht="15" customHeight="1" thickBot="1" x14ac:dyDescent="0.35">
      <c r="B46" s="60"/>
      <c r="C46" s="60"/>
      <c r="D46" s="410" t="s">
        <v>141</v>
      </c>
      <c r="E46" s="410"/>
      <c r="F46" s="109">
        <f>SUM(F40:F45)</f>
        <v>300</v>
      </c>
      <c r="G46" s="108" t="s">
        <v>142</v>
      </c>
      <c r="H46" s="411">
        <f>SUM(H40:I45)/1000</f>
        <v>0.3</v>
      </c>
      <c r="I46" s="412"/>
      <c r="M46" s="65"/>
      <c r="N46" s="65"/>
      <c r="O46" s="65"/>
      <c r="P46" s="65"/>
      <c r="Q46" s="65"/>
      <c r="R46" s="65"/>
      <c r="S46" s="65"/>
      <c r="T46" s="65"/>
    </row>
    <row r="47" spans="2:27" ht="15" customHeight="1" thickBot="1" x14ac:dyDescent="0.35">
      <c r="B47" s="60"/>
      <c r="C47" s="413" t="s">
        <v>143</v>
      </c>
      <c r="D47" s="410"/>
      <c r="E47" s="410"/>
      <c r="F47" s="410"/>
      <c r="G47" s="410"/>
      <c r="H47" s="414">
        <f>'2. Inputs'!D6</f>
        <v>100</v>
      </c>
      <c r="I47" s="415"/>
    </row>
    <row r="48" spans="2:27" ht="25" customHeight="1" x14ac:dyDescent="0.3">
      <c r="B48" s="66"/>
      <c r="C48" s="67" t="s">
        <v>144</v>
      </c>
      <c r="D48" s="68"/>
      <c r="E48" s="68"/>
      <c r="F48" s="67">
        <f>(F46*H47)/1000</f>
        <v>30</v>
      </c>
      <c r="G48" s="68" t="s">
        <v>145</v>
      </c>
      <c r="H48" s="67">
        <f>H46*H47</f>
        <v>30</v>
      </c>
      <c r="I48" s="68" t="s">
        <v>146</v>
      </c>
    </row>
    <row r="49" spans="2:19" ht="14.5" thickBot="1" x14ac:dyDescent="0.35">
      <c r="B49" s="50"/>
      <c r="C49" s="50"/>
      <c r="D49" s="50"/>
      <c r="E49" s="50"/>
      <c r="F49" s="50"/>
      <c r="G49" s="50"/>
      <c r="H49" s="50"/>
      <c r="I49" s="50"/>
      <c r="J49" s="50"/>
    </row>
    <row r="50" spans="2:19" ht="25" customHeight="1" thickBot="1" x14ac:dyDescent="0.35">
      <c r="B50" s="66"/>
      <c r="C50" s="67" t="s">
        <v>147</v>
      </c>
      <c r="D50" s="68"/>
      <c r="E50" s="68"/>
      <c r="F50" s="67"/>
      <c r="G50" s="68"/>
      <c r="H50" s="67"/>
      <c r="I50" s="68"/>
    </row>
    <row r="51" spans="2:19" ht="25.5" thickBot="1" x14ac:dyDescent="0.35">
      <c r="B51" s="60"/>
      <c r="C51" s="60" t="s">
        <v>148</v>
      </c>
      <c r="D51" s="61" t="s">
        <v>130</v>
      </c>
      <c r="E51" s="61" t="s">
        <v>131</v>
      </c>
      <c r="F51" s="63" t="s">
        <v>132</v>
      </c>
      <c r="G51" s="61" t="s">
        <v>133</v>
      </c>
      <c r="H51" s="416" t="s">
        <v>134</v>
      </c>
      <c r="I51" s="417"/>
      <c r="J51" s="110"/>
    </row>
    <row r="52" spans="2:19" ht="15" customHeight="1" thickBot="1" x14ac:dyDescent="0.35">
      <c r="B52" s="61"/>
      <c r="C52" s="346" t="s">
        <v>149</v>
      </c>
      <c r="D52" s="112">
        <v>0</v>
      </c>
      <c r="E52" s="316">
        <v>1500</v>
      </c>
      <c r="F52" s="318">
        <f t="shared" ref="F52:F59" si="2">D52*E52</f>
        <v>0</v>
      </c>
      <c r="G52" s="112">
        <v>0</v>
      </c>
      <c r="H52" s="408">
        <f t="shared" ref="H52:H57" si="3">D52*E52*G52</f>
        <v>0</v>
      </c>
      <c r="I52" s="409"/>
      <c r="J52" s="111"/>
    </row>
    <row r="53" spans="2:19" ht="14.5" thickBot="1" x14ac:dyDescent="0.35">
      <c r="B53" s="61"/>
      <c r="C53" s="340" t="s">
        <v>150</v>
      </c>
      <c r="D53" s="112">
        <v>3</v>
      </c>
      <c r="E53" s="316">
        <v>2000</v>
      </c>
      <c r="F53" s="318">
        <f t="shared" si="2"/>
        <v>6000</v>
      </c>
      <c r="G53" s="112">
        <v>3</v>
      </c>
      <c r="H53" s="408">
        <f t="shared" si="3"/>
        <v>18000</v>
      </c>
      <c r="I53" s="409"/>
      <c r="J53" s="111"/>
    </row>
    <row r="54" spans="2:19" ht="14.5" thickBot="1" x14ac:dyDescent="0.35">
      <c r="B54" s="61"/>
      <c r="C54" s="346" t="s">
        <v>151</v>
      </c>
      <c r="D54" s="112">
        <v>5</v>
      </c>
      <c r="E54" s="316">
        <v>200</v>
      </c>
      <c r="F54" s="318">
        <f t="shared" si="2"/>
        <v>1000</v>
      </c>
      <c r="G54" s="112">
        <v>2</v>
      </c>
      <c r="H54" s="408">
        <f t="shared" si="3"/>
        <v>2000</v>
      </c>
      <c r="I54" s="409"/>
      <c r="J54" s="111"/>
      <c r="P54" s="406"/>
      <c r="Q54" s="406"/>
      <c r="R54" s="406"/>
      <c r="S54" s="406"/>
    </row>
    <row r="55" spans="2:19" ht="14.5" thickBot="1" x14ac:dyDescent="0.35">
      <c r="B55" s="61"/>
      <c r="C55" s="346" t="s">
        <v>152</v>
      </c>
      <c r="D55" s="112">
        <v>10</v>
      </c>
      <c r="E55" s="316">
        <v>1000</v>
      </c>
      <c r="F55" s="318">
        <f t="shared" si="2"/>
        <v>10000</v>
      </c>
      <c r="G55" s="112">
        <v>1</v>
      </c>
      <c r="H55" s="408">
        <f t="shared" si="3"/>
        <v>10000</v>
      </c>
      <c r="I55" s="409"/>
      <c r="J55" s="111"/>
    </row>
    <row r="56" spans="2:19" ht="14.5" thickBot="1" x14ac:dyDescent="0.35">
      <c r="B56" s="61"/>
      <c r="C56" s="340" t="s">
        <v>153</v>
      </c>
      <c r="D56" s="112">
        <v>1</v>
      </c>
      <c r="E56" s="316">
        <v>1500</v>
      </c>
      <c r="F56" s="318">
        <f t="shared" si="2"/>
        <v>1500</v>
      </c>
      <c r="G56" s="112">
        <v>1</v>
      </c>
      <c r="H56" s="408">
        <f t="shared" si="3"/>
        <v>1500</v>
      </c>
      <c r="I56" s="409"/>
      <c r="J56" s="111"/>
    </row>
    <row r="57" spans="2:19" ht="14.5" thickBot="1" x14ac:dyDescent="0.35">
      <c r="B57" s="61"/>
      <c r="C57" s="346" t="s">
        <v>154</v>
      </c>
      <c r="D57" s="112">
        <v>2</v>
      </c>
      <c r="E57" s="316">
        <v>320</v>
      </c>
      <c r="F57" s="318">
        <f t="shared" si="2"/>
        <v>640</v>
      </c>
      <c r="G57" s="112">
        <v>3</v>
      </c>
      <c r="H57" s="408">
        <f t="shared" si="3"/>
        <v>1920</v>
      </c>
      <c r="I57" s="409"/>
      <c r="J57" s="111"/>
    </row>
    <row r="58" spans="2:19" ht="14.5" thickBot="1" x14ac:dyDescent="0.35">
      <c r="B58" s="199"/>
      <c r="C58" s="348" t="s">
        <v>155</v>
      </c>
      <c r="D58" s="200">
        <v>0</v>
      </c>
      <c r="E58" s="317">
        <v>0</v>
      </c>
      <c r="F58" s="318">
        <f t="shared" si="2"/>
        <v>0</v>
      </c>
      <c r="G58" s="112">
        <v>0</v>
      </c>
      <c r="H58" s="408">
        <f t="shared" ref="H58" si="4">D58*E58*G58</f>
        <v>0</v>
      </c>
      <c r="I58" s="409"/>
      <c r="J58" s="52"/>
    </row>
    <row r="59" spans="2:19" ht="14.5" thickBot="1" x14ac:dyDescent="0.35">
      <c r="B59" s="199"/>
      <c r="C59" s="348" t="s">
        <v>156</v>
      </c>
      <c r="D59" s="200">
        <v>0</v>
      </c>
      <c r="E59" s="317">
        <v>0</v>
      </c>
      <c r="F59" s="318">
        <f t="shared" si="2"/>
        <v>0</v>
      </c>
      <c r="G59" s="200">
        <v>0</v>
      </c>
      <c r="H59" s="408">
        <f t="shared" ref="H59" si="5">D59*E59*G59</f>
        <v>0</v>
      </c>
      <c r="I59" s="409"/>
      <c r="J59" s="52"/>
    </row>
    <row r="60" spans="2:19" ht="25" customHeight="1" x14ac:dyDescent="0.3">
      <c r="B60" s="66"/>
      <c r="C60" s="67" t="s">
        <v>157</v>
      </c>
      <c r="D60" s="68"/>
      <c r="E60" s="68"/>
      <c r="F60" s="67">
        <f>SUM(F52:F57)/1000</f>
        <v>19.14</v>
      </c>
      <c r="G60" s="68" t="s">
        <v>145</v>
      </c>
      <c r="H60" s="67">
        <f>SUM(H52:H57)/1000</f>
        <v>33.42</v>
      </c>
      <c r="I60" s="68" t="s">
        <v>146</v>
      </c>
    </row>
    <row r="61" spans="2:19" ht="14.5" thickBot="1" x14ac:dyDescent="0.35">
      <c r="D61" s="16"/>
    </row>
    <row r="62" spans="2:19" ht="25" customHeight="1" thickBot="1" x14ac:dyDescent="0.35">
      <c r="B62" s="66"/>
      <c r="C62" s="67" t="s">
        <v>158</v>
      </c>
      <c r="D62" s="68"/>
      <c r="E62" s="68"/>
      <c r="F62" s="67"/>
      <c r="G62" s="68"/>
      <c r="H62" s="67"/>
      <c r="I62" s="68"/>
    </row>
    <row r="63" spans="2:19" ht="25.5" thickBot="1" x14ac:dyDescent="0.35">
      <c r="B63" s="60"/>
      <c r="C63" s="60" t="s">
        <v>148</v>
      </c>
      <c r="D63" s="61" t="s">
        <v>130</v>
      </c>
      <c r="E63" s="61" t="s">
        <v>131</v>
      </c>
      <c r="F63" s="63" t="s">
        <v>132</v>
      </c>
      <c r="G63" s="61" t="s">
        <v>133</v>
      </c>
      <c r="H63" s="416" t="s">
        <v>134</v>
      </c>
      <c r="I63" s="417"/>
      <c r="J63" s="110"/>
    </row>
    <row r="64" spans="2:19" ht="14.5" thickBot="1" x14ac:dyDescent="0.35">
      <c r="B64" s="61"/>
      <c r="C64" s="346" t="s">
        <v>159</v>
      </c>
      <c r="D64" s="112">
        <v>2</v>
      </c>
      <c r="E64" s="316">
        <v>1200</v>
      </c>
      <c r="F64" s="318">
        <f>D64*E64</f>
        <v>2400</v>
      </c>
      <c r="G64" s="112">
        <v>12</v>
      </c>
      <c r="H64" s="408">
        <f t="shared" ref="H64:H69" si="6">D64*E64*G64</f>
        <v>28800</v>
      </c>
      <c r="I64" s="409"/>
      <c r="J64" s="111"/>
    </row>
    <row r="65" spans="2:27" ht="18.75" customHeight="1" thickBot="1" x14ac:dyDescent="0.35">
      <c r="B65" s="61"/>
      <c r="C65" s="346" t="s">
        <v>160</v>
      </c>
      <c r="D65" s="112">
        <v>1</v>
      </c>
      <c r="E65" s="316">
        <v>4.09</v>
      </c>
      <c r="F65" s="318">
        <f>D65*E65</f>
        <v>4.09</v>
      </c>
      <c r="G65" s="112">
        <v>6</v>
      </c>
      <c r="H65" s="408">
        <f t="shared" si="6"/>
        <v>24.54</v>
      </c>
      <c r="I65" s="409"/>
      <c r="J65" s="111"/>
    </row>
    <row r="66" spans="2:27" ht="14.5" thickBot="1" x14ac:dyDescent="0.35">
      <c r="B66" s="61"/>
      <c r="C66" s="346" t="s">
        <v>161</v>
      </c>
      <c r="D66" s="112">
        <v>30</v>
      </c>
      <c r="E66" s="316">
        <v>20</v>
      </c>
      <c r="F66" s="318">
        <f>D66*E66</f>
        <v>600</v>
      </c>
      <c r="G66" s="112">
        <v>12</v>
      </c>
      <c r="H66" s="408">
        <f t="shared" si="6"/>
        <v>7200</v>
      </c>
      <c r="I66" s="409"/>
      <c r="J66" s="111"/>
    </row>
    <row r="67" spans="2:27" ht="14.5" thickBot="1" x14ac:dyDescent="0.35">
      <c r="B67" s="199"/>
      <c r="C67" s="346" t="s">
        <v>162</v>
      </c>
      <c r="D67" s="112">
        <v>5</v>
      </c>
      <c r="E67" s="316">
        <v>550</v>
      </c>
      <c r="F67" s="319">
        <f>E67*D67</f>
        <v>2750</v>
      </c>
      <c r="G67" s="200">
        <v>8</v>
      </c>
      <c r="H67" s="408">
        <f t="shared" si="6"/>
        <v>22000</v>
      </c>
      <c r="I67" s="409"/>
      <c r="J67" s="52"/>
    </row>
    <row r="68" spans="2:27" ht="14.5" thickBot="1" x14ac:dyDescent="0.35">
      <c r="B68" s="199"/>
      <c r="C68" s="348" t="s">
        <v>163</v>
      </c>
      <c r="D68" s="200">
        <v>7</v>
      </c>
      <c r="E68" s="320">
        <v>100</v>
      </c>
      <c r="F68" s="319">
        <f t="shared" ref="F68:F69" si="7">E68*D68</f>
        <v>700</v>
      </c>
      <c r="G68" s="200">
        <v>5</v>
      </c>
      <c r="H68" s="408">
        <f t="shared" si="6"/>
        <v>3500</v>
      </c>
      <c r="I68" s="409"/>
      <c r="J68" s="52"/>
    </row>
    <row r="69" spans="2:27" ht="14.5" thickBot="1" x14ac:dyDescent="0.35">
      <c r="B69" s="199"/>
      <c r="C69" s="348" t="s">
        <v>164</v>
      </c>
      <c r="D69" s="200">
        <v>1</v>
      </c>
      <c r="E69" s="320">
        <v>300</v>
      </c>
      <c r="F69" s="319">
        <f t="shared" si="7"/>
        <v>300</v>
      </c>
      <c r="G69" s="200">
        <v>5</v>
      </c>
      <c r="H69" s="408">
        <f t="shared" si="6"/>
        <v>1500</v>
      </c>
      <c r="I69" s="409"/>
      <c r="J69" s="52"/>
    </row>
    <row r="70" spans="2:27" ht="25" customHeight="1" x14ac:dyDescent="0.3">
      <c r="B70" s="66"/>
      <c r="C70" s="67" t="s">
        <v>157</v>
      </c>
      <c r="D70" s="68"/>
      <c r="E70" s="68"/>
      <c r="F70" s="67">
        <f>SUM(F64:F67)/1000</f>
        <v>5.7540899999999997</v>
      </c>
      <c r="G70" s="68" t="s">
        <v>145</v>
      </c>
      <c r="H70" s="67">
        <f>SUM(H64:I69)/1000</f>
        <v>63.024540000000002</v>
      </c>
      <c r="I70" s="68" t="s">
        <v>146</v>
      </c>
    </row>
    <row r="71" spans="2:27" ht="14.5" thickBot="1" x14ac:dyDescent="0.35">
      <c r="D71" s="16"/>
    </row>
    <row r="72" spans="2:27" ht="25" customHeight="1" x14ac:dyDescent="0.3">
      <c r="B72" s="66"/>
      <c r="C72" s="67" t="s">
        <v>165</v>
      </c>
      <c r="D72" s="68"/>
      <c r="E72" s="68"/>
      <c r="F72" s="67">
        <f>F70+F60+F48</f>
        <v>54.894089999999998</v>
      </c>
      <c r="G72" s="68" t="s">
        <v>145</v>
      </c>
      <c r="H72" s="67">
        <f>H60+H48+H70</f>
        <v>126.44454</v>
      </c>
      <c r="I72" s="68" t="s">
        <v>146</v>
      </c>
    </row>
    <row r="73" spans="2:27" x14ac:dyDescent="0.3">
      <c r="D73" s="16"/>
    </row>
    <row r="74" spans="2:27" ht="14.5" thickBot="1" x14ac:dyDescent="0.35">
      <c r="B74" s="65"/>
      <c r="C74" s="65"/>
      <c r="D74" s="65"/>
    </row>
    <row r="75" spans="2:27" ht="25" customHeight="1" thickBot="1" x14ac:dyDescent="0.35">
      <c r="B75" s="66"/>
      <c r="C75" s="67" t="s">
        <v>166</v>
      </c>
      <c r="D75" s="368" t="s">
        <v>167</v>
      </c>
      <c r="E75" s="368" t="s">
        <v>168</v>
      </c>
      <c r="F75" s="368" t="s">
        <v>169</v>
      </c>
      <c r="G75" s="368" t="s">
        <v>170</v>
      </c>
      <c r="H75" s="368" t="s">
        <v>171</v>
      </c>
      <c r="I75" s="368" t="s">
        <v>172</v>
      </c>
      <c r="J75" s="368" t="s">
        <v>173</v>
      </c>
      <c r="K75" s="368" t="s">
        <v>174</v>
      </c>
      <c r="L75" s="368" t="s">
        <v>175</v>
      </c>
      <c r="M75" s="368" t="s">
        <v>176</v>
      </c>
      <c r="N75" s="368" t="s">
        <v>177</v>
      </c>
      <c r="O75" s="368" t="s">
        <v>178</v>
      </c>
      <c r="P75" s="368" t="s">
        <v>179</v>
      </c>
      <c r="Q75" s="368" t="s">
        <v>180</v>
      </c>
      <c r="R75" s="368" t="s">
        <v>181</v>
      </c>
      <c r="S75" s="368" t="s">
        <v>182</v>
      </c>
      <c r="T75" s="368" t="s">
        <v>183</v>
      </c>
      <c r="U75" s="368" t="s">
        <v>184</v>
      </c>
      <c r="V75" s="368" t="s">
        <v>185</v>
      </c>
      <c r="W75" s="368" t="s">
        <v>186</v>
      </c>
      <c r="X75" s="368" t="s">
        <v>187</v>
      </c>
      <c r="Y75" s="368" t="s">
        <v>188</v>
      </c>
      <c r="Z75" s="368" t="s">
        <v>189</v>
      </c>
      <c r="AA75" s="368" t="s">
        <v>190</v>
      </c>
    </row>
    <row r="76" spans="2:27" ht="14.5" thickBot="1" x14ac:dyDescent="0.35">
      <c r="B76" s="61"/>
      <c r="C76" s="61" t="s">
        <v>191</v>
      </c>
      <c r="D76" s="352">
        <v>0</v>
      </c>
      <c r="E76" s="352">
        <v>0</v>
      </c>
      <c r="F76" s="352">
        <v>0</v>
      </c>
      <c r="G76" s="352">
        <v>1</v>
      </c>
      <c r="H76" s="352">
        <v>1</v>
      </c>
      <c r="I76" s="352">
        <v>1</v>
      </c>
      <c r="J76" s="352">
        <v>1</v>
      </c>
      <c r="K76" s="352">
        <v>0</v>
      </c>
      <c r="L76" s="352">
        <v>0</v>
      </c>
      <c r="M76" s="352">
        <v>0</v>
      </c>
      <c r="N76" s="352">
        <v>0</v>
      </c>
      <c r="O76" s="352">
        <v>0</v>
      </c>
      <c r="P76" s="352">
        <v>0</v>
      </c>
      <c r="Q76" s="352">
        <v>0</v>
      </c>
      <c r="R76" s="352">
        <v>0</v>
      </c>
      <c r="S76" s="352">
        <v>0</v>
      </c>
      <c r="T76" s="352">
        <v>0</v>
      </c>
      <c r="U76" s="352">
        <v>1</v>
      </c>
      <c r="V76" s="352">
        <v>1</v>
      </c>
      <c r="W76" s="352">
        <v>1</v>
      </c>
      <c r="X76" s="352">
        <v>1</v>
      </c>
      <c r="Y76" s="352">
        <v>1</v>
      </c>
      <c r="Z76" s="352">
        <v>1</v>
      </c>
      <c r="AA76" s="353">
        <v>0</v>
      </c>
    </row>
    <row r="77" spans="2:27" ht="14.5" thickBot="1" x14ac:dyDescent="0.35">
      <c r="B77" s="61"/>
      <c r="C77" s="61" t="str">
        <f>C52</f>
        <v>Agro Processing Mills</v>
      </c>
      <c r="D77" s="352">
        <v>0</v>
      </c>
      <c r="E77" s="352">
        <v>0</v>
      </c>
      <c r="F77" s="352">
        <v>0</v>
      </c>
      <c r="G77" s="352">
        <v>0</v>
      </c>
      <c r="H77" s="352">
        <v>0</v>
      </c>
      <c r="I77" s="352">
        <v>0</v>
      </c>
      <c r="J77" s="352">
        <v>0</v>
      </c>
      <c r="K77" s="352">
        <v>0</v>
      </c>
      <c r="L77" s="352">
        <v>0</v>
      </c>
      <c r="M77" s="352">
        <v>0</v>
      </c>
      <c r="N77" s="352">
        <v>0</v>
      </c>
      <c r="O77" s="352">
        <v>1</v>
      </c>
      <c r="P77" s="352">
        <v>1</v>
      </c>
      <c r="Q77" s="352">
        <v>1</v>
      </c>
      <c r="R77" s="352">
        <v>1</v>
      </c>
      <c r="S77" s="352">
        <v>0</v>
      </c>
      <c r="T77" s="352">
        <v>0</v>
      </c>
      <c r="U77" s="352">
        <v>0</v>
      </c>
      <c r="V77" s="352">
        <v>0</v>
      </c>
      <c r="W77" s="352">
        <v>0</v>
      </c>
      <c r="X77" s="352">
        <v>0</v>
      </c>
      <c r="Y77" s="352">
        <v>0</v>
      </c>
      <c r="Z77" s="352">
        <v>0</v>
      </c>
      <c r="AA77" s="353">
        <v>0</v>
      </c>
    </row>
    <row r="78" spans="2:27" ht="14.5" thickBot="1" x14ac:dyDescent="0.35">
      <c r="B78" s="61"/>
      <c r="C78" s="61" t="str">
        <f>C53</f>
        <v>Saw Mills</v>
      </c>
      <c r="D78" s="352">
        <v>0</v>
      </c>
      <c r="E78" s="352">
        <v>0</v>
      </c>
      <c r="F78" s="352">
        <v>0</v>
      </c>
      <c r="G78" s="352">
        <v>0</v>
      </c>
      <c r="H78" s="352">
        <v>0</v>
      </c>
      <c r="I78" s="352">
        <v>0</v>
      </c>
      <c r="J78" s="352">
        <v>0</v>
      </c>
      <c r="K78" s="352">
        <v>0</v>
      </c>
      <c r="L78" s="352">
        <v>0</v>
      </c>
      <c r="M78" s="352">
        <v>0</v>
      </c>
      <c r="N78" s="352">
        <v>1</v>
      </c>
      <c r="O78" s="352">
        <v>1</v>
      </c>
      <c r="P78" s="352">
        <v>1</v>
      </c>
      <c r="Q78" s="352">
        <v>1</v>
      </c>
      <c r="R78" s="352">
        <v>1</v>
      </c>
      <c r="S78" s="352">
        <v>1</v>
      </c>
      <c r="T78" s="352">
        <v>0</v>
      </c>
      <c r="U78" s="352">
        <v>0</v>
      </c>
      <c r="V78" s="352">
        <v>0</v>
      </c>
      <c r="W78" s="352">
        <v>0</v>
      </c>
      <c r="X78" s="352">
        <v>0</v>
      </c>
      <c r="Y78" s="352">
        <v>0</v>
      </c>
      <c r="Z78" s="352">
        <v>0</v>
      </c>
      <c r="AA78" s="353">
        <v>0</v>
      </c>
    </row>
    <row r="79" spans="2:27" ht="14.5" thickBot="1" x14ac:dyDescent="0.35">
      <c r="B79" s="61"/>
      <c r="C79" s="61" t="str">
        <f>C64</f>
        <v>Healthpost</v>
      </c>
      <c r="D79" s="352">
        <v>0</v>
      </c>
      <c r="E79" s="352">
        <v>0</v>
      </c>
      <c r="F79" s="352">
        <v>0</v>
      </c>
      <c r="G79" s="352">
        <v>0</v>
      </c>
      <c r="H79" s="352">
        <v>0</v>
      </c>
      <c r="I79" s="352">
        <v>0</v>
      </c>
      <c r="J79" s="352">
        <v>0</v>
      </c>
      <c r="K79" s="352">
        <v>0</v>
      </c>
      <c r="L79" s="352">
        <v>0</v>
      </c>
      <c r="M79" s="352">
        <v>1</v>
      </c>
      <c r="N79" s="352">
        <v>1</v>
      </c>
      <c r="O79" s="352">
        <v>1</v>
      </c>
      <c r="P79" s="352">
        <v>1</v>
      </c>
      <c r="Q79" s="352">
        <v>1</v>
      </c>
      <c r="R79" s="352">
        <v>1</v>
      </c>
      <c r="S79" s="352">
        <v>1</v>
      </c>
      <c r="T79" s="352">
        <v>1</v>
      </c>
      <c r="U79" s="352">
        <v>1</v>
      </c>
      <c r="V79" s="352">
        <v>0</v>
      </c>
      <c r="W79" s="352">
        <v>0</v>
      </c>
      <c r="X79" s="352">
        <v>0</v>
      </c>
      <c r="Y79" s="352">
        <v>0</v>
      </c>
      <c r="Z79" s="352">
        <v>0</v>
      </c>
      <c r="AA79" s="353">
        <v>0</v>
      </c>
    </row>
    <row r="80" spans="2:27" ht="14.5" thickBot="1" x14ac:dyDescent="0.35">
      <c r="B80" s="61"/>
      <c r="C80" s="61" t="str">
        <f>C65</f>
        <v>Schools</v>
      </c>
      <c r="D80" s="352">
        <v>0</v>
      </c>
      <c r="E80" s="352">
        <v>0</v>
      </c>
      <c r="F80" s="352">
        <v>0</v>
      </c>
      <c r="G80" s="352">
        <v>0</v>
      </c>
      <c r="H80" s="352">
        <v>0</v>
      </c>
      <c r="I80" s="352">
        <v>0</v>
      </c>
      <c r="J80" s="352">
        <v>0</v>
      </c>
      <c r="K80" s="352">
        <v>0</v>
      </c>
      <c r="L80" s="352">
        <v>0</v>
      </c>
      <c r="M80" s="352">
        <v>0</v>
      </c>
      <c r="N80" s="352">
        <v>1</v>
      </c>
      <c r="O80" s="352">
        <v>1</v>
      </c>
      <c r="P80" s="352">
        <v>1</v>
      </c>
      <c r="Q80" s="352">
        <v>1</v>
      </c>
      <c r="R80" s="352">
        <v>1</v>
      </c>
      <c r="S80" s="352">
        <v>1</v>
      </c>
      <c r="T80" s="352">
        <v>0</v>
      </c>
      <c r="U80" s="352">
        <v>0</v>
      </c>
      <c r="V80" s="352">
        <v>0</v>
      </c>
      <c r="W80" s="352">
        <v>0</v>
      </c>
      <c r="X80" s="352">
        <v>0</v>
      </c>
      <c r="Y80" s="352">
        <v>0</v>
      </c>
      <c r="Z80" s="352">
        <v>0</v>
      </c>
      <c r="AA80" s="353">
        <v>0</v>
      </c>
    </row>
    <row r="81" spans="2:27" s="15" customFormat="1" ht="14.5" thickBot="1" x14ac:dyDescent="0.35">
      <c r="B81" s="61"/>
      <c r="C81" s="61" t="str">
        <f>C66</f>
        <v>Street Lights</v>
      </c>
      <c r="D81" s="352">
        <v>1</v>
      </c>
      <c r="E81" s="352">
        <v>1</v>
      </c>
      <c r="F81" s="352">
        <v>1</v>
      </c>
      <c r="G81" s="352">
        <v>1</v>
      </c>
      <c r="H81" s="352">
        <v>1</v>
      </c>
      <c r="I81" s="352">
        <v>1</v>
      </c>
      <c r="J81" s="352">
        <v>0</v>
      </c>
      <c r="K81" s="352">
        <v>0</v>
      </c>
      <c r="L81" s="352">
        <v>0</v>
      </c>
      <c r="M81" s="352">
        <v>0</v>
      </c>
      <c r="N81" s="352">
        <v>0</v>
      </c>
      <c r="O81" s="352">
        <v>0</v>
      </c>
      <c r="P81" s="352">
        <v>0</v>
      </c>
      <c r="Q81" s="352">
        <v>0</v>
      </c>
      <c r="R81" s="352">
        <v>0</v>
      </c>
      <c r="S81" s="352">
        <v>0</v>
      </c>
      <c r="T81" s="352">
        <v>0</v>
      </c>
      <c r="U81" s="352">
        <v>0</v>
      </c>
      <c r="V81" s="352">
        <v>1</v>
      </c>
      <c r="W81" s="352">
        <v>1</v>
      </c>
      <c r="X81" s="352">
        <v>1</v>
      </c>
      <c r="Y81" s="352">
        <v>1</v>
      </c>
      <c r="Z81" s="352">
        <v>1</v>
      </c>
      <c r="AA81" s="352">
        <v>1</v>
      </c>
    </row>
    <row r="82" spans="2:27" s="15" customFormat="1" ht="14.5" thickBot="1" x14ac:dyDescent="0.35">
      <c r="B82" s="61"/>
      <c r="C82" s="61" t="str">
        <f>C54</f>
        <v>Mobile Shops</v>
      </c>
      <c r="D82" s="352">
        <v>0</v>
      </c>
      <c r="E82" s="352">
        <v>0</v>
      </c>
      <c r="F82" s="352">
        <v>0</v>
      </c>
      <c r="G82" s="352">
        <v>0</v>
      </c>
      <c r="H82" s="352">
        <v>0</v>
      </c>
      <c r="I82" s="352">
        <v>0</v>
      </c>
      <c r="J82" s="352">
        <v>0</v>
      </c>
      <c r="K82" s="352">
        <v>0</v>
      </c>
      <c r="L82" s="352">
        <v>0</v>
      </c>
      <c r="M82" s="352">
        <v>0</v>
      </c>
      <c r="N82" s="352">
        <v>1</v>
      </c>
      <c r="O82" s="352">
        <v>1</v>
      </c>
      <c r="P82" s="352">
        <v>1</v>
      </c>
      <c r="Q82" s="352">
        <v>1</v>
      </c>
      <c r="R82" s="352">
        <v>1</v>
      </c>
      <c r="S82" s="352">
        <v>1</v>
      </c>
      <c r="T82" s="352">
        <v>1</v>
      </c>
      <c r="U82" s="352">
        <v>1</v>
      </c>
      <c r="V82" s="352">
        <v>0</v>
      </c>
      <c r="W82" s="352">
        <v>0</v>
      </c>
      <c r="X82" s="352">
        <v>0</v>
      </c>
      <c r="Y82" s="352">
        <v>0</v>
      </c>
      <c r="Z82" s="352">
        <v>0</v>
      </c>
      <c r="AA82" s="353">
        <v>0</v>
      </c>
    </row>
    <row r="83" spans="2:27" ht="14.5" thickBot="1" x14ac:dyDescent="0.35">
      <c r="B83" s="61"/>
      <c r="C83" s="61" t="str">
        <f>C58</f>
        <v>Bakery Udhyog</v>
      </c>
      <c r="D83" s="352">
        <v>0</v>
      </c>
      <c r="E83" s="352">
        <v>0</v>
      </c>
      <c r="F83" s="352">
        <v>0</v>
      </c>
      <c r="G83" s="352">
        <v>0</v>
      </c>
      <c r="H83" s="352">
        <v>1</v>
      </c>
      <c r="I83" s="352">
        <v>1</v>
      </c>
      <c r="J83" s="352">
        <v>1</v>
      </c>
      <c r="K83" s="352">
        <v>1</v>
      </c>
      <c r="L83" s="352">
        <v>1</v>
      </c>
      <c r="M83" s="352">
        <v>0</v>
      </c>
      <c r="N83" s="352">
        <v>0</v>
      </c>
      <c r="O83" s="352">
        <v>0</v>
      </c>
      <c r="P83" s="352">
        <v>0</v>
      </c>
      <c r="Q83" s="352">
        <v>0</v>
      </c>
      <c r="R83" s="352">
        <v>0</v>
      </c>
      <c r="S83" s="352">
        <v>0</v>
      </c>
      <c r="T83" s="352">
        <v>0</v>
      </c>
      <c r="U83" s="352">
        <v>0</v>
      </c>
      <c r="V83" s="352">
        <v>1</v>
      </c>
      <c r="W83" s="352">
        <v>1</v>
      </c>
      <c r="X83" s="352">
        <v>1</v>
      </c>
      <c r="Y83" s="352">
        <v>0</v>
      </c>
      <c r="Z83" s="352">
        <v>0</v>
      </c>
      <c r="AA83" s="353">
        <v>0</v>
      </c>
    </row>
    <row r="84" spans="2:27" ht="14.5" thickBot="1" x14ac:dyDescent="0.35">
      <c r="B84" s="61"/>
      <c r="C84" s="61" t="str">
        <f>C56</f>
        <v>Grill Udhyog</v>
      </c>
      <c r="D84" s="352">
        <v>0</v>
      </c>
      <c r="E84" s="352">
        <v>0</v>
      </c>
      <c r="F84" s="352">
        <v>0</v>
      </c>
      <c r="G84" s="352">
        <v>0</v>
      </c>
      <c r="H84" s="352">
        <v>0</v>
      </c>
      <c r="I84" s="352">
        <v>0</v>
      </c>
      <c r="J84" s="352">
        <v>0</v>
      </c>
      <c r="K84" s="352">
        <v>0</v>
      </c>
      <c r="L84" s="352">
        <v>0</v>
      </c>
      <c r="M84" s="352">
        <v>0</v>
      </c>
      <c r="N84" s="352">
        <v>1</v>
      </c>
      <c r="O84" s="352">
        <v>1</v>
      </c>
      <c r="P84" s="352">
        <v>1</v>
      </c>
      <c r="Q84" s="352">
        <v>1</v>
      </c>
      <c r="R84" s="352">
        <v>1</v>
      </c>
      <c r="S84" s="352">
        <v>0</v>
      </c>
      <c r="T84" s="352">
        <v>0</v>
      </c>
      <c r="U84" s="352">
        <v>0</v>
      </c>
      <c r="V84" s="352">
        <v>0</v>
      </c>
      <c r="W84" s="352">
        <v>0</v>
      </c>
      <c r="X84" s="352">
        <v>0</v>
      </c>
      <c r="Y84" s="352">
        <v>0</v>
      </c>
      <c r="Z84" s="352">
        <v>0</v>
      </c>
      <c r="AA84" s="353">
        <v>0</v>
      </c>
    </row>
    <row r="85" spans="2:27" ht="14.5" thickBot="1" x14ac:dyDescent="0.35">
      <c r="B85" s="61"/>
      <c r="C85" s="61" t="str">
        <f>C59</f>
        <v>Poultary Farm</v>
      </c>
      <c r="D85" s="352">
        <v>1</v>
      </c>
      <c r="E85" s="352">
        <v>1</v>
      </c>
      <c r="F85" s="352">
        <v>1</v>
      </c>
      <c r="G85" s="352">
        <v>1</v>
      </c>
      <c r="H85" s="352">
        <v>1</v>
      </c>
      <c r="I85" s="352">
        <v>1</v>
      </c>
      <c r="J85" s="352">
        <v>1</v>
      </c>
      <c r="K85" s="352">
        <v>1</v>
      </c>
      <c r="L85" s="352">
        <v>0</v>
      </c>
      <c r="M85" s="352">
        <v>0</v>
      </c>
      <c r="N85" s="352">
        <v>0</v>
      </c>
      <c r="O85" s="352">
        <v>0</v>
      </c>
      <c r="P85" s="352">
        <v>0</v>
      </c>
      <c r="Q85" s="352">
        <v>0</v>
      </c>
      <c r="R85" s="352">
        <v>0</v>
      </c>
      <c r="S85" s="352">
        <v>0</v>
      </c>
      <c r="T85" s="352">
        <v>0</v>
      </c>
      <c r="U85" s="352">
        <v>0</v>
      </c>
      <c r="V85" s="352">
        <v>1</v>
      </c>
      <c r="W85" s="352">
        <v>1</v>
      </c>
      <c r="X85" s="352">
        <v>1</v>
      </c>
      <c r="Y85" s="352">
        <v>1</v>
      </c>
      <c r="Z85" s="352">
        <v>1</v>
      </c>
      <c r="AA85" s="353">
        <v>1</v>
      </c>
    </row>
    <row r="86" spans="2:27" ht="14.5" thickBot="1" x14ac:dyDescent="0.35">
      <c r="D86" s="65"/>
      <c r="E86" s="65"/>
      <c r="F86" s="65"/>
      <c r="G86" s="65"/>
      <c r="H86" s="65"/>
    </row>
    <row r="87" spans="2:27" ht="25" customHeight="1" thickBot="1" x14ac:dyDescent="0.35">
      <c r="B87" s="66"/>
      <c r="C87" s="67" t="s">
        <v>166</v>
      </c>
      <c r="D87" s="368" t="s">
        <v>167</v>
      </c>
      <c r="E87" s="368" t="s">
        <v>168</v>
      </c>
      <c r="F87" s="368" t="s">
        <v>169</v>
      </c>
      <c r="G87" s="368" t="s">
        <v>170</v>
      </c>
      <c r="H87" s="368" t="s">
        <v>171</v>
      </c>
      <c r="I87" s="368" t="s">
        <v>172</v>
      </c>
      <c r="J87" s="368" t="s">
        <v>173</v>
      </c>
      <c r="K87" s="368" t="s">
        <v>174</v>
      </c>
      <c r="L87" s="368" t="s">
        <v>175</v>
      </c>
      <c r="M87" s="368" t="s">
        <v>176</v>
      </c>
      <c r="N87" s="368" t="s">
        <v>177</v>
      </c>
      <c r="O87" s="368" t="s">
        <v>178</v>
      </c>
      <c r="P87" s="368" t="s">
        <v>179</v>
      </c>
      <c r="Q87" s="368" t="s">
        <v>180</v>
      </c>
      <c r="R87" s="368" t="s">
        <v>181</v>
      </c>
      <c r="S87" s="368" t="s">
        <v>182</v>
      </c>
      <c r="T87" s="368" t="s">
        <v>183</v>
      </c>
      <c r="U87" s="368" t="s">
        <v>184</v>
      </c>
      <c r="V87" s="368" t="s">
        <v>185</v>
      </c>
      <c r="W87" s="368" t="s">
        <v>186</v>
      </c>
      <c r="X87" s="368" t="s">
        <v>187</v>
      </c>
      <c r="Y87" s="368" t="s">
        <v>188</v>
      </c>
      <c r="Z87" s="368" t="s">
        <v>189</v>
      </c>
      <c r="AA87" s="368" t="s">
        <v>190</v>
      </c>
    </row>
    <row r="88" spans="2:27" ht="14.5" thickBot="1" x14ac:dyDescent="0.35">
      <c r="B88" s="61"/>
      <c r="C88" s="61" t="str">
        <f t="shared" ref="C88:C97" si="8">C76</f>
        <v>Household loads</v>
      </c>
      <c r="D88" s="318">
        <f>$F$46*$H$47*D76</f>
        <v>0</v>
      </c>
      <c r="E88" s="318">
        <f t="shared" ref="E88:AA88" si="9">$F$46*$H$47*E76</f>
        <v>0</v>
      </c>
      <c r="F88" s="318">
        <f t="shared" si="9"/>
        <v>0</v>
      </c>
      <c r="G88" s="318">
        <f>$F$46*$H$47*G76</f>
        <v>30000</v>
      </c>
      <c r="H88" s="318">
        <f t="shared" si="9"/>
        <v>30000</v>
      </c>
      <c r="I88" s="318">
        <f t="shared" si="9"/>
        <v>30000</v>
      </c>
      <c r="J88" s="318">
        <f t="shared" si="9"/>
        <v>30000</v>
      </c>
      <c r="K88" s="318">
        <f t="shared" si="9"/>
        <v>0</v>
      </c>
      <c r="L88" s="318">
        <f t="shared" si="9"/>
        <v>0</v>
      </c>
      <c r="M88" s="318">
        <f t="shared" si="9"/>
        <v>0</v>
      </c>
      <c r="N88" s="318">
        <f t="shared" si="9"/>
        <v>0</v>
      </c>
      <c r="O88" s="318">
        <f t="shared" si="9"/>
        <v>0</v>
      </c>
      <c r="P88" s="318">
        <f t="shared" si="9"/>
        <v>0</v>
      </c>
      <c r="Q88" s="318">
        <f t="shared" si="9"/>
        <v>0</v>
      </c>
      <c r="R88" s="318">
        <f t="shared" si="9"/>
        <v>0</v>
      </c>
      <c r="S88" s="318">
        <f t="shared" si="9"/>
        <v>0</v>
      </c>
      <c r="T88" s="318">
        <f t="shared" si="9"/>
        <v>0</v>
      </c>
      <c r="U88" s="318">
        <f t="shared" si="9"/>
        <v>30000</v>
      </c>
      <c r="V88" s="318">
        <f t="shared" si="9"/>
        <v>30000</v>
      </c>
      <c r="W88" s="318">
        <f t="shared" si="9"/>
        <v>30000</v>
      </c>
      <c r="X88" s="318">
        <f t="shared" si="9"/>
        <v>30000</v>
      </c>
      <c r="Y88" s="318">
        <f t="shared" si="9"/>
        <v>30000</v>
      </c>
      <c r="Z88" s="318">
        <f t="shared" si="9"/>
        <v>30000</v>
      </c>
      <c r="AA88" s="318">
        <f t="shared" si="9"/>
        <v>0</v>
      </c>
    </row>
    <row r="89" spans="2:27" ht="14.5" thickBot="1" x14ac:dyDescent="0.35">
      <c r="B89" s="61"/>
      <c r="C89" s="61" t="str">
        <f t="shared" si="8"/>
        <v>Agro Processing Mills</v>
      </c>
      <c r="D89" s="318">
        <f>$F$52*D77</f>
        <v>0</v>
      </c>
      <c r="E89" s="318">
        <f t="shared" ref="E89:AA89" si="10">$F$52*E77</f>
        <v>0</v>
      </c>
      <c r="F89" s="318">
        <f t="shared" si="10"/>
        <v>0</v>
      </c>
      <c r="G89" s="318">
        <f t="shared" si="10"/>
        <v>0</v>
      </c>
      <c r="H89" s="318">
        <f t="shared" si="10"/>
        <v>0</v>
      </c>
      <c r="I89" s="318">
        <f t="shared" si="10"/>
        <v>0</v>
      </c>
      <c r="J89" s="318">
        <f t="shared" si="10"/>
        <v>0</v>
      </c>
      <c r="K89" s="318">
        <f t="shared" si="10"/>
        <v>0</v>
      </c>
      <c r="L89" s="318">
        <f t="shared" si="10"/>
        <v>0</v>
      </c>
      <c r="M89" s="318">
        <f t="shared" si="10"/>
        <v>0</v>
      </c>
      <c r="N89" s="318">
        <f t="shared" si="10"/>
        <v>0</v>
      </c>
      <c r="O89" s="318">
        <f t="shared" si="10"/>
        <v>0</v>
      </c>
      <c r="P89" s="318">
        <f t="shared" si="10"/>
        <v>0</v>
      </c>
      <c r="Q89" s="318">
        <f t="shared" si="10"/>
        <v>0</v>
      </c>
      <c r="R89" s="318">
        <f t="shared" si="10"/>
        <v>0</v>
      </c>
      <c r="S89" s="318">
        <f t="shared" si="10"/>
        <v>0</v>
      </c>
      <c r="T89" s="318">
        <f t="shared" si="10"/>
        <v>0</v>
      </c>
      <c r="U89" s="318">
        <f t="shared" si="10"/>
        <v>0</v>
      </c>
      <c r="V89" s="318">
        <f t="shared" si="10"/>
        <v>0</v>
      </c>
      <c r="W89" s="318">
        <f t="shared" si="10"/>
        <v>0</v>
      </c>
      <c r="X89" s="318">
        <f t="shared" si="10"/>
        <v>0</v>
      </c>
      <c r="Y89" s="318">
        <f t="shared" si="10"/>
        <v>0</v>
      </c>
      <c r="Z89" s="318">
        <f t="shared" si="10"/>
        <v>0</v>
      </c>
      <c r="AA89" s="318">
        <f t="shared" si="10"/>
        <v>0</v>
      </c>
    </row>
    <row r="90" spans="2:27" ht="14.5" thickBot="1" x14ac:dyDescent="0.35">
      <c r="B90" s="61"/>
      <c r="C90" s="61" t="str">
        <f t="shared" si="8"/>
        <v>Saw Mills</v>
      </c>
      <c r="D90" s="318">
        <f>$F$53*D78</f>
        <v>0</v>
      </c>
      <c r="E90" s="318">
        <f t="shared" ref="E90:AA90" si="11">$F$53*E78</f>
        <v>0</v>
      </c>
      <c r="F90" s="318">
        <f t="shared" si="11"/>
        <v>0</v>
      </c>
      <c r="G90" s="318">
        <f t="shared" si="11"/>
        <v>0</v>
      </c>
      <c r="H90" s="318">
        <f t="shared" si="11"/>
        <v>0</v>
      </c>
      <c r="I90" s="318">
        <f t="shared" si="11"/>
        <v>0</v>
      </c>
      <c r="J90" s="318">
        <f t="shared" si="11"/>
        <v>0</v>
      </c>
      <c r="K90" s="318">
        <f t="shared" si="11"/>
        <v>0</v>
      </c>
      <c r="L90" s="318">
        <f t="shared" si="11"/>
        <v>0</v>
      </c>
      <c r="M90" s="318">
        <f t="shared" si="11"/>
        <v>0</v>
      </c>
      <c r="N90" s="318">
        <f t="shared" si="11"/>
        <v>6000</v>
      </c>
      <c r="O90" s="318">
        <f t="shared" si="11"/>
        <v>6000</v>
      </c>
      <c r="P90" s="318">
        <f t="shared" si="11"/>
        <v>6000</v>
      </c>
      <c r="Q90" s="318">
        <f t="shared" si="11"/>
        <v>6000</v>
      </c>
      <c r="R90" s="318">
        <f t="shared" si="11"/>
        <v>6000</v>
      </c>
      <c r="S90" s="318">
        <f t="shared" si="11"/>
        <v>6000</v>
      </c>
      <c r="T90" s="318">
        <f t="shared" si="11"/>
        <v>0</v>
      </c>
      <c r="U90" s="318">
        <f t="shared" si="11"/>
        <v>0</v>
      </c>
      <c r="V90" s="318">
        <f t="shared" si="11"/>
        <v>0</v>
      </c>
      <c r="W90" s="318">
        <f t="shared" si="11"/>
        <v>0</v>
      </c>
      <c r="X90" s="318">
        <f t="shared" si="11"/>
        <v>0</v>
      </c>
      <c r="Y90" s="318">
        <f t="shared" si="11"/>
        <v>0</v>
      </c>
      <c r="Z90" s="318">
        <f t="shared" si="11"/>
        <v>0</v>
      </c>
      <c r="AA90" s="318">
        <f t="shared" si="11"/>
        <v>0</v>
      </c>
    </row>
    <row r="91" spans="2:27" ht="14.5" thickBot="1" x14ac:dyDescent="0.35">
      <c r="B91" s="61"/>
      <c r="C91" s="61" t="str">
        <f t="shared" si="8"/>
        <v>Healthpost</v>
      </c>
      <c r="D91" s="318">
        <f>$F$64*D79</f>
        <v>0</v>
      </c>
      <c r="E91" s="318">
        <f t="shared" ref="E91:AA91" si="12">$F$64*E79</f>
        <v>0</v>
      </c>
      <c r="F91" s="318">
        <f t="shared" si="12"/>
        <v>0</v>
      </c>
      <c r="G91" s="318">
        <f t="shared" si="12"/>
        <v>0</v>
      </c>
      <c r="H91" s="318">
        <f t="shared" si="12"/>
        <v>0</v>
      </c>
      <c r="I91" s="318">
        <f t="shared" si="12"/>
        <v>0</v>
      </c>
      <c r="J91" s="318">
        <f t="shared" si="12"/>
        <v>0</v>
      </c>
      <c r="K91" s="318">
        <f t="shared" si="12"/>
        <v>0</v>
      </c>
      <c r="L91" s="318">
        <f t="shared" si="12"/>
        <v>0</v>
      </c>
      <c r="M91" s="318">
        <f>$F$64*M79</f>
        <v>2400</v>
      </c>
      <c r="N91" s="318">
        <f t="shared" si="12"/>
        <v>2400</v>
      </c>
      <c r="O91" s="318">
        <f t="shared" si="12"/>
        <v>2400</v>
      </c>
      <c r="P91" s="318">
        <f t="shared" si="12"/>
        <v>2400</v>
      </c>
      <c r="Q91" s="318">
        <f t="shared" si="12"/>
        <v>2400</v>
      </c>
      <c r="R91" s="318">
        <f t="shared" si="12"/>
        <v>2400</v>
      </c>
      <c r="S91" s="318">
        <f t="shared" si="12"/>
        <v>2400</v>
      </c>
      <c r="T91" s="318">
        <f t="shared" si="12"/>
        <v>2400</v>
      </c>
      <c r="U91" s="318">
        <f t="shared" si="12"/>
        <v>2400</v>
      </c>
      <c r="V91" s="318">
        <f t="shared" si="12"/>
        <v>0</v>
      </c>
      <c r="W91" s="318">
        <f t="shared" si="12"/>
        <v>0</v>
      </c>
      <c r="X91" s="318">
        <f t="shared" si="12"/>
        <v>0</v>
      </c>
      <c r="Y91" s="318">
        <f t="shared" si="12"/>
        <v>0</v>
      </c>
      <c r="Z91" s="318">
        <f t="shared" si="12"/>
        <v>0</v>
      </c>
      <c r="AA91" s="318">
        <f t="shared" si="12"/>
        <v>0</v>
      </c>
    </row>
    <row r="92" spans="2:27" ht="14.5" thickBot="1" x14ac:dyDescent="0.35">
      <c r="B92" s="61"/>
      <c r="C92" s="61" t="str">
        <f t="shared" si="8"/>
        <v>Schools</v>
      </c>
      <c r="D92" s="318">
        <f>$F$65*D80</f>
        <v>0</v>
      </c>
      <c r="E92" s="318">
        <f t="shared" ref="E92:AA92" si="13">$F$65*E80</f>
        <v>0</v>
      </c>
      <c r="F92" s="318">
        <f t="shared" si="13"/>
        <v>0</v>
      </c>
      <c r="G92" s="318">
        <f t="shared" si="13"/>
        <v>0</v>
      </c>
      <c r="H92" s="318">
        <f t="shared" si="13"/>
        <v>0</v>
      </c>
      <c r="I92" s="318">
        <f t="shared" si="13"/>
        <v>0</v>
      </c>
      <c r="J92" s="318">
        <f t="shared" si="13"/>
        <v>0</v>
      </c>
      <c r="K92" s="318">
        <f t="shared" si="13"/>
        <v>0</v>
      </c>
      <c r="L92" s="318">
        <f t="shared" si="13"/>
        <v>0</v>
      </c>
      <c r="M92" s="318">
        <f t="shared" si="13"/>
        <v>0</v>
      </c>
      <c r="N92" s="318">
        <f t="shared" si="13"/>
        <v>4.09</v>
      </c>
      <c r="O92" s="318">
        <f t="shared" si="13"/>
        <v>4.09</v>
      </c>
      <c r="P92" s="318">
        <f t="shared" si="13"/>
        <v>4.09</v>
      </c>
      <c r="Q92" s="318">
        <f t="shared" si="13"/>
        <v>4.09</v>
      </c>
      <c r="R92" s="318">
        <f t="shared" si="13"/>
        <v>4.09</v>
      </c>
      <c r="S92" s="318">
        <f t="shared" si="13"/>
        <v>4.09</v>
      </c>
      <c r="T92" s="318">
        <f t="shared" si="13"/>
        <v>0</v>
      </c>
      <c r="U92" s="318">
        <f t="shared" si="13"/>
        <v>0</v>
      </c>
      <c r="V92" s="318">
        <f t="shared" si="13"/>
        <v>0</v>
      </c>
      <c r="W92" s="318">
        <f t="shared" si="13"/>
        <v>0</v>
      </c>
      <c r="X92" s="318">
        <f t="shared" si="13"/>
        <v>0</v>
      </c>
      <c r="Y92" s="318">
        <f t="shared" si="13"/>
        <v>0</v>
      </c>
      <c r="Z92" s="318">
        <f t="shared" si="13"/>
        <v>0</v>
      </c>
      <c r="AA92" s="318">
        <f t="shared" si="13"/>
        <v>0</v>
      </c>
    </row>
    <row r="93" spans="2:27" ht="14.5" thickBot="1" x14ac:dyDescent="0.35">
      <c r="B93" s="61"/>
      <c r="C93" s="61" t="str">
        <f t="shared" si="8"/>
        <v>Street Lights</v>
      </c>
      <c r="D93" s="318">
        <f>$F$66*D81</f>
        <v>600</v>
      </c>
      <c r="E93" s="318">
        <f t="shared" ref="E93:AA93" si="14">$F$66*E81</f>
        <v>600</v>
      </c>
      <c r="F93" s="318">
        <f t="shared" si="14"/>
        <v>600</v>
      </c>
      <c r="G93" s="318">
        <f t="shared" si="14"/>
        <v>600</v>
      </c>
      <c r="H93" s="318">
        <f t="shared" si="14"/>
        <v>600</v>
      </c>
      <c r="I93" s="318">
        <f t="shared" si="14"/>
        <v>600</v>
      </c>
      <c r="J93" s="318">
        <f t="shared" si="14"/>
        <v>0</v>
      </c>
      <c r="K93" s="318">
        <f t="shared" si="14"/>
        <v>0</v>
      </c>
      <c r="L93" s="318">
        <f t="shared" si="14"/>
        <v>0</v>
      </c>
      <c r="M93" s="318">
        <f t="shared" si="14"/>
        <v>0</v>
      </c>
      <c r="N93" s="318">
        <f t="shared" si="14"/>
        <v>0</v>
      </c>
      <c r="O93" s="318">
        <f t="shared" si="14"/>
        <v>0</v>
      </c>
      <c r="P93" s="318">
        <f t="shared" si="14"/>
        <v>0</v>
      </c>
      <c r="Q93" s="318">
        <f t="shared" si="14"/>
        <v>0</v>
      </c>
      <c r="R93" s="318">
        <f t="shared" si="14"/>
        <v>0</v>
      </c>
      <c r="S93" s="318">
        <f t="shared" si="14"/>
        <v>0</v>
      </c>
      <c r="T93" s="318">
        <f t="shared" si="14"/>
        <v>0</v>
      </c>
      <c r="U93" s="318">
        <f t="shared" si="14"/>
        <v>0</v>
      </c>
      <c r="V93" s="318">
        <f t="shared" si="14"/>
        <v>600</v>
      </c>
      <c r="W93" s="318">
        <f t="shared" si="14"/>
        <v>600</v>
      </c>
      <c r="X93" s="318">
        <f t="shared" si="14"/>
        <v>600</v>
      </c>
      <c r="Y93" s="318">
        <f t="shared" si="14"/>
        <v>600</v>
      </c>
      <c r="Z93" s="318">
        <f t="shared" si="14"/>
        <v>600</v>
      </c>
      <c r="AA93" s="318">
        <f t="shared" si="14"/>
        <v>600</v>
      </c>
    </row>
    <row r="94" spans="2:27" ht="14.5" thickBot="1" x14ac:dyDescent="0.35">
      <c r="B94" s="61"/>
      <c r="C94" s="61" t="str">
        <f t="shared" si="8"/>
        <v>Mobile Shops</v>
      </c>
      <c r="D94" s="318">
        <f t="shared" ref="D94:AA94" si="15">$F$54*D82</f>
        <v>0</v>
      </c>
      <c r="E94" s="318">
        <f t="shared" si="15"/>
        <v>0</v>
      </c>
      <c r="F94" s="318">
        <f t="shared" si="15"/>
        <v>0</v>
      </c>
      <c r="G94" s="318">
        <f t="shared" si="15"/>
        <v>0</v>
      </c>
      <c r="H94" s="318">
        <f t="shared" si="15"/>
        <v>0</v>
      </c>
      <c r="I94" s="318">
        <f t="shared" si="15"/>
        <v>0</v>
      </c>
      <c r="J94" s="318">
        <f t="shared" si="15"/>
        <v>0</v>
      </c>
      <c r="K94" s="318">
        <f t="shared" si="15"/>
        <v>0</v>
      </c>
      <c r="L94" s="318">
        <f t="shared" si="15"/>
        <v>0</v>
      </c>
      <c r="M94" s="318">
        <f t="shared" si="15"/>
        <v>0</v>
      </c>
      <c r="N94" s="318">
        <f t="shared" si="15"/>
        <v>1000</v>
      </c>
      <c r="O94" s="318">
        <f t="shared" si="15"/>
        <v>1000</v>
      </c>
      <c r="P94" s="318">
        <f t="shared" si="15"/>
        <v>1000</v>
      </c>
      <c r="Q94" s="318">
        <f t="shared" si="15"/>
        <v>1000</v>
      </c>
      <c r="R94" s="318">
        <f t="shared" si="15"/>
        <v>1000</v>
      </c>
      <c r="S94" s="318">
        <f t="shared" si="15"/>
        <v>1000</v>
      </c>
      <c r="T94" s="318">
        <f t="shared" si="15"/>
        <v>1000</v>
      </c>
      <c r="U94" s="318">
        <f t="shared" si="15"/>
        <v>1000</v>
      </c>
      <c r="V94" s="318">
        <f t="shared" si="15"/>
        <v>0</v>
      </c>
      <c r="W94" s="318">
        <f t="shared" si="15"/>
        <v>0</v>
      </c>
      <c r="X94" s="318">
        <f t="shared" si="15"/>
        <v>0</v>
      </c>
      <c r="Y94" s="318">
        <f t="shared" si="15"/>
        <v>0</v>
      </c>
      <c r="Z94" s="318">
        <f t="shared" si="15"/>
        <v>0</v>
      </c>
      <c r="AA94" s="318">
        <f t="shared" si="15"/>
        <v>0</v>
      </c>
    </row>
    <row r="95" spans="2:27" ht="14.5" thickBot="1" x14ac:dyDescent="0.35">
      <c r="B95" s="61"/>
      <c r="C95" s="61" t="str">
        <f t="shared" si="8"/>
        <v>Bakery Udhyog</v>
      </c>
      <c r="D95" s="318">
        <f>$F$58*D83</f>
        <v>0</v>
      </c>
      <c r="E95" s="318">
        <f t="shared" ref="E95:AA95" si="16">$F$58*E83</f>
        <v>0</v>
      </c>
      <c r="F95" s="318">
        <f t="shared" si="16"/>
        <v>0</v>
      </c>
      <c r="G95" s="318">
        <f t="shared" si="16"/>
        <v>0</v>
      </c>
      <c r="H95" s="318">
        <f t="shared" si="16"/>
        <v>0</v>
      </c>
      <c r="I95" s="318">
        <f t="shared" si="16"/>
        <v>0</v>
      </c>
      <c r="J95" s="318">
        <f t="shared" si="16"/>
        <v>0</v>
      </c>
      <c r="K95" s="318">
        <f t="shared" si="16"/>
        <v>0</v>
      </c>
      <c r="L95" s="318">
        <f t="shared" si="16"/>
        <v>0</v>
      </c>
      <c r="M95" s="318">
        <f t="shared" si="16"/>
        <v>0</v>
      </c>
      <c r="N95" s="318">
        <f t="shared" si="16"/>
        <v>0</v>
      </c>
      <c r="O95" s="318">
        <f t="shared" si="16"/>
        <v>0</v>
      </c>
      <c r="P95" s="318">
        <f t="shared" si="16"/>
        <v>0</v>
      </c>
      <c r="Q95" s="318">
        <f t="shared" si="16"/>
        <v>0</v>
      </c>
      <c r="R95" s="318">
        <f t="shared" si="16"/>
        <v>0</v>
      </c>
      <c r="S95" s="318">
        <f t="shared" si="16"/>
        <v>0</v>
      </c>
      <c r="T95" s="318">
        <f t="shared" si="16"/>
        <v>0</v>
      </c>
      <c r="U95" s="318">
        <f t="shared" si="16"/>
        <v>0</v>
      </c>
      <c r="V95" s="318">
        <f t="shared" si="16"/>
        <v>0</v>
      </c>
      <c r="W95" s="318">
        <f t="shared" si="16"/>
        <v>0</v>
      </c>
      <c r="X95" s="318">
        <f t="shared" si="16"/>
        <v>0</v>
      </c>
      <c r="Y95" s="318">
        <f t="shared" si="16"/>
        <v>0</v>
      </c>
      <c r="Z95" s="318">
        <f t="shared" si="16"/>
        <v>0</v>
      </c>
      <c r="AA95" s="318">
        <f t="shared" si="16"/>
        <v>0</v>
      </c>
    </row>
    <row r="96" spans="2:27" ht="14.5" thickBot="1" x14ac:dyDescent="0.35">
      <c r="B96" s="61"/>
      <c r="C96" s="61" t="str">
        <f t="shared" si="8"/>
        <v>Grill Udhyog</v>
      </c>
      <c r="D96" s="318">
        <f t="shared" ref="D96:AA96" si="17">$F$56*D84</f>
        <v>0</v>
      </c>
      <c r="E96" s="318">
        <f t="shared" si="17"/>
        <v>0</v>
      </c>
      <c r="F96" s="318">
        <f t="shared" si="17"/>
        <v>0</v>
      </c>
      <c r="G96" s="318">
        <f t="shared" si="17"/>
        <v>0</v>
      </c>
      <c r="H96" s="318">
        <f t="shared" si="17"/>
        <v>0</v>
      </c>
      <c r="I96" s="318">
        <f t="shared" si="17"/>
        <v>0</v>
      </c>
      <c r="J96" s="318">
        <f t="shared" si="17"/>
        <v>0</v>
      </c>
      <c r="K96" s="318">
        <f t="shared" si="17"/>
        <v>0</v>
      </c>
      <c r="L96" s="318">
        <f t="shared" si="17"/>
        <v>0</v>
      </c>
      <c r="M96" s="318">
        <f t="shared" si="17"/>
        <v>0</v>
      </c>
      <c r="N96" s="318">
        <f t="shared" si="17"/>
        <v>1500</v>
      </c>
      <c r="O96" s="318">
        <f t="shared" si="17"/>
        <v>1500</v>
      </c>
      <c r="P96" s="318">
        <f t="shared" si="17"/>
        <v>1500</v>
      </c>
      <c r="Q96" s="318">
        <f t="shared" si="17"/>
        <v>1500</v>
      </c>
      <c r="R96" s="318">
        <f t="shared" si="17"/>
        <v>1500</v>
      </c>
      <c r="S96" s="318">
        <f t="shared" si="17"/>
        <v>0</v>
      </c>
      <c r="T96" s="318">
        <f t="shared" si="17"/>
        <v>0</v>
      </c>
      <c r="U96" s="318">
        <f t="shared" si="17"/>
        <v>0</v>
      </c>
      <c r="V96" s="318">
        <f t="shared" si="17"/>
        <v>0</v>
      </c>
      <c r="W96" s="318">
        <f t="shared" si="17"/>
        <v>0</v>
      </c>
      <c r="X96" s="318">
        <f t="shared" si="17"/>
        <v>0</v>
      </c>
      <c r="Y96" s="318">
        <f t="shared" si="17"/>
        <v>0</v>
      </c>
      <c r="Z96" s="318">
        <f t="shared" si="17"/>
        <v>0</v>
      </c>
      <c r="AA96" s="318">
        <f t="shared" si="17"/>
        <v>0</v>
      </c>
    </row>
    <row r="97" spans="2:27" ht="14.5" thickBot="1" x14ac:dyDescent="0.35">
      <c r="B97" s="61"/>
      <c r="C97" s="61" t="str">
        <f t="shared" si="8"/>
        <v>Poultary Farm</v>
      </c>
      <c r="D97" s="318">
        <f>$F$59*D85</f>
        <v>0</v>
      </c>
      <c r="E97" s="318">
        <f t="shared" ref="E97:AA97" si="18">$F$59*E85</f>
        <v>0</v>
      </c>
      <c r="F97" s="318">
        <f t="shared" si="18"/>
        <v>0</v>
      </c>
      <c r="G97" s="318">
        <f t="shared" si="18"/>
        <v>0</v>
      </c>
      <c r="H97" s="318">
        <f t="shared" si="18"/>
        <v>0</v>
      </c>
      <c r="I97" s="318">
        <f t="shared" si="18"/>
        <v>0</v>
      </c>
      <c r="J97" s="318">
        <f t="shared" si="18"/>
        <v>0</v>
      </c>
      <c r="K97" s="318">
        <f t="shared" si="18"/>
        <v>0</v>
      </c>
      <c r="L97" s="318">
        <f t="shared" si="18"/>
        <v>0</v>
      </c>
      <c r="M97" s="318">
        <f t="shared" si="18"/>
        <v>0</v>
      </c>
      <c r="N97" s="318">
        <f t="shared" si="18"/>
        <v>0</v>
      </c>
      <c r="O97" s="318">
        <f t="shared" si="18"/>
        <v>0</v>
      </c>
      <c r="P97" s="318">
        <f t="shared" si="18"/>
        <v>0</v>
      </c>
      <c r="Q97" s="318">
        <f t="shared" si="18"/>
        <v>0</v>
      </c>
      <c r="R97" s="318">
        <f t="shared" si="18"/>
        <v>0</v>
      </c>
      <c r="S97" s="318">
        <f t="shared" si="18"/>
        <v>0</v>
      </c>
      <c r="T97" s="318">
        <f t="shared" si="18"/>
        <v>0</v>
      </c>
      <c r="U97" s="318">
        <f t="shared" si="18"/>
        <v>0</v>
      </c>
      <c r="V97" s="318">
        <f t="shared" si="18"/>
        <v>0</v>
      </c>
      <c r="W97" s="318">
        <f t="shared" si="18"/>
        <v>0</v>
      </c>
      <c r="X97" s="318">
        <f t="shared" si="18"/>
        <v>0</v>
      </c>
      <c r="Y97" s="318">
        <f t="shared" si="18"/>
        <v>0</v>
      </c>
      <c r="Z97" s="318">
        <f t="shared" si="18"/>
        <v>0</v>
      </c>
      <c r="AA97" s="318">
        <f t="shared" si="18"/>
        <v>0</v>
      </c>
    </row>
    <row r="98" spans="2:27" ht="25" customHeight="1" thickBot="1" x14ac:dyDescent="0.35">
      <c r="B98" s="60"/>
      <c r="C98" s="60" t="s">
        <v>192</v>
      </c>
      <c r="D98" s="321">
        <f>SUM(D88:D97)</f>
        <v>600</v>
      </c>
      <c r="E98" s="321">
        <f t="shared" ref="E98:AA98" si="19">SUM(E88:E97)</f>
        <v>600</v>
      </c>
      <c r="F98" s="321">
        <f>SUM(F88:F97)</f>
        <v>600</v>
      </c>
      <c r="G98" s="321">
        <f t="shared" si="19"/>
        <v>30600</v>
      </c>
      <c r="H98" s="321">
        <f t="shared" si="19"/>
        <v>30600</v>
      </c>
      <c r="I98" s="321">
        <f t="shared" si="19"/>
        <v>30600</v>
      </c>
      <c r="J98" s="321">
        <f t="shared" si="19"/>
        <v>30000</v>
      </c>
      <c r="K98" s="321">
        <f t="shared" si="19"/>
        <v>0</v>
      </c>
      <c r="L98" s="321">
        <f t="shared" si="19"/>
        <v>0</v>
      </c>
      <c r="M98" s="321">
        <f t="shared" si="19"/>
        <v>2400</v>
      </c>
      <c r="N98" s="321">
        <f t="shared" si="19"/>
        <v>10904.09</v>
      </c>
      <c r="O98" s="321">
        <f t="shared" si="19"/>
        <v>10904.09</v>
      </c>
      <c r="P98" s="321">
        <f t="shared" si="19"/>
        <v>10904.09</v>
      </c>
      <c r="Q98" s="321">
        <f t="shared" si="19"/>
        <v>10904.09</v>
      </c>
      <c r="R98" s="321">
        <f t="shared" si="19"/>
        <v>10904.09</v>
      </c>
      <c r="S98" s="321">
        <f t="shared" si="19"/>
        <v>9404.09</v>
      </c>
      <c r="T98" s="321">
        <f t="shared" si="19"/>
        <v>3400</v>
      </c>
      <c r="U98" s="321">
        <f t="shared" si="19"/>
        <v>33400</v>
      </c>
      <c r="V98" s="321">
        <f t="shared" si="19"/>
        <v>30600</v>
      </c>
      <c r="W98" s="321">
        <f t="shared" si="19"/>
        <v>30600</v>
      </c>
      <c r="X98" s="321">
        <f t="shared" si="19"/>
        <v>30600</v>
      </c>
      <c r="Y98" s="321">
        <f t="shared" si="19"/>
        <v>30600</v>
      </c>
      <c r="Z98" s="321">
        <f t="shared" si="19"/>
        <v>30600</v>
      </c>
      <c r="AA98" s="321">
        <f t="shared" si="19"/>
        <v>600</v>
      </c>
    </row>
    <row r="99" spans="2:27" ht="25" customHeight="1" x14ac:dyDescent="0.3">
      <c r="B99" s="70"/>
      <c r="C99" s="70" t="s">
        <v>193</v>
      </c>
      <c r="D99" s="322">
        <f>D98*1</f>
        <v>600</v>
      </c>
      <c r="E99" s="322">
        <f t="shared" ref="E99:AA99" si="20">E98*1</f>
        <v>600</v>
      </c>
      <c r="F99" s="322">
        <f t="shared" si="20"/>
        <v>600</v>
      </c>
      <c r="G99" s="322">
        <f t="shared" si="20"/>
        <v>30600</v>
      </c>
      <c r="H99" s="322">
        <f t="shared" si="20"/>
        <v>30600</v>
      </c>
      <c r="I99" s="322">
        <f t="shared" si="20"/>
        <v>30600</v>
      </c>
      <c r="J99" s="322">
        <f t="shared" si="20"/>
        <v>30000</v>
      </c>
      <c r="K99" s="322">
        <f t="shared" si="20"/>
        <v>0</v>
      </c>
      <c r="L99" s="322">
        <f t="shared" si="20"/>
        <v>0</v>
      </c>
      <c r="M99" s="322">
        <f t="shared" si="20"/>
        <v>2400</v>
      </c>
      <c r="N99" s="322">
        <f t="shared" si="20"/>
        <v>10904.09</v>
      </c>
      <c r="O99" s="322">
        <f t="shared" si="20"/>
        <v>10904.09</v>
      </c>
      <c r="P99" s="322">
        <f t="shared" si="20"/>
        <v>10904.09</v>
      </c>
      <c r="Q99" s="322">
        <f t="shared" si="20"/>
        <v>10904.09</v>
      </c>
      <c r="R99" s="322">
        <f t="shared" si="20"/>
        <v>10904.09</v>
      </c>
      <c r="S99" s="322">
        <f t="shared" si="20"/>
        <v>9404.09</v>
      </c>
      <c r="T99" s="322">
        <f t="shared" si="20"/>
        <v>3400</v>
      </c>
      <c r="U99" s="322">
        <f t="shared" si="20"/>
        <v>33400</v>
      </c>
      <c r="V99" s="322">
        <f t="shared" si="20"/>
        <v>30600</v>
      </c>
      <c r="W99" s="322">
        <f t="shared" si="20"/>
        <v>30600</v>
      </c>
      <c r="X99" s="322">
        <f t="shared" si="20"/>
        <v>30600</v>
      </c>
      <c r="Y99" s="322">
        <f t="shared" si="20"/>
        <v>30600</v>
      </c>
      <c r="Z99" s="322">
        <f t="shared" si="20"/>
        <v>30600</v>
      </c>
      <c r="AA99" s="322">
        <f t="shared" si="20"/>
        <v>600</v>
      </c>
    </row>
    <row r="100" spans="2:27" x14ac:dyDescent="0.3">
      <c r="D100" s="16"/>
    </row>
    <row r="101" spans="2:27" x14ac:dyDescent="0.3">
      <c r="D101" s="16"/>
    </row>
    <row r="102" spans="2:27" x14ac:dyDescent="0.3">
      <c r="D102" s="16"/>
    </row>
    <row r="103" spans="2:27" x14ac:dyDescent="0.3">
      <c r="D103" s="16"/>
    </row>
    <row r="104" spans="2:27" x14ac:dyDescent="0.3">
      <c r="D104" s="16"/>
    </row>
    <row r="111" spans="2:27" x14ac:dyDescent="0.3">
      <c r="Q111" s="16" t="s">
        <v>194</v>
      </c>
    </row>
    <row r="122" spans="19:19" x14ac:dyDescent="0.3">
      <c r="S122" s="16" t="s">
        <v>194</v>
      </c>
    </row>
    <row r="138" spans="3:14" ht="14.5" thickBot="1" x14ac:dyDescent="0.35"/>
    <row r="139" spans="3:14" ht="14.5" thickBot="1" x14ac:dyDescent="0.35">
      <c r="C139" s="166"/>
      <c r="D139" s="16"/>
      <c r="H139" s="196"/>
      <c r="I139" s="429"/>
      <c r="J139" s="430"/>
      <c r="K139" s="430"/>
      <c r="L139" s="430"/>
      <c r="M139" s="430"/>
      <c r="N139" s="430"/>
    </row>
    <row r="140" spans="3:14" ht="14.5" thickBot="1" x14ac:dyDescent="0.35">
      <c r="C140" s="166"/>
      <c r="D140" s="16"/>
      <c r="H140" s="197"/>
      <c r="I140" s="429"/>
      <c r="J140" s="430"/>
      <c r="K140" s="430"/>
      <c r="L140" s="430"/>
      <c r="M140" s="430"/>
      <c r="N140" s="430"/>
    </row>
    <row r="141" spans="3:14" ht="14.5" thickBot="1" x14ac:dyDescent="0.35">
      <c r="C141" s="166"/>
      <c r="D141" s="16"/>
      <c r="H141" s="197"/>
      <c r="I141" s="429"/>
      <c r="J141" s="430"/>
      <c r="K141" s="430"/>
      <c r="L141" s="430"/>
      <c r="M141" s="430"/>
      <c r="N141" s="430"/>
    </row>
    <row r="142" spans="3:14" ht="14.5" thickBot="1" x14ac:dyDescent="0.35">
      <c r="C142" s="166"/>
      <c r="D142" s="16"/>
      <c r="H142" s="197"/>
      <c r="I142" s="429"/>
      <c r="J142" s="430"/>
      <c r="K142" s="430"/>
      <c r="L142" s="430"/>
      <c r="M142" s="430"/>
      <c r="N142" s="430"/>
    </row>
    <row r="143" spans="3:14" ht="14.5" thickBot="1" x14ac:dyDescent="0.35">
      <c r="C143" s="166"/>
      <c r="D143" s="16"/>
      <c r="H143" s="197"/>
      <c r="I143" s="429"/>
      <c r="J143" s="430"/>
      <c r="K143" s="430"/>
      <c r="L143" s="430"/>
      <c r="M143" s="430"/>
      <c r="N143" s="430"/>
    </row>
    <row r="144" spans="3:14" ht="14.5" thickBot="1" x14ac:dyDescent="0.35">
      <c r="C144" s="166"/>
      <c r="D144" s="16"/>
      <c r="H144" s="197"/>
      <c r="I144" s="429"/>
      <c r="J144" s="430"/>
      <c r="K144" s="430"/>
      <c r="L144" s="430"/>
      <c r="M144" s="430"/>
      <c r="N144" s="430"/>
    </row>
    <row r="145" spans="3:14" ht="14.5" thickBot="1" x14ac:dyDescent="0.35">
      <c r="C145" s="166"/>
      <c r="D145" s="16"/>
      <c r="H145" s="197"/>
      <c r="I145" s="429"/>
      <c r="J145" s="430"/>
      <c r="K145" s="430"/>
      <c r="L145" s="430"/>
      <c r="M145" s="430"/>
      <c r="N145" s="430"/>
    </row>
    <row r="146" spans="3:14" ht="14.5" thickBot="1" x14ac:dyDescent="0.35">
      <c r="C146" s="166"/>
      <c r="D146" s="16"/>
      <c r="H146" s="197"/>
      <c r="I146" s="429"/>
      <c r="J146" s="430"/>
      <c r="K146" s="430"/>
      <c r="L146" s="430"/>
      <c r="M146" s="430"/>
      <c r="N146" s="430"/>
    </row>
    <row r="147" spans="3:14" ht="14.5" thickBot="1" x14ac:dyDescent="0.35">
      <c r="C147" s="166"/>
      <c r="D147" s="16"/>
      <c r="H147" s="197"/>
      <c r="I147" s="429"/>
      <c r="J147" s="430"/>
      <c r="K147" s="430"/>
      <c r="L147" s="430"/>
      <c r="M147" s="430"/>
      <c r="N147" s="430"/>
    </row>
    <row r="148" spans="3:14" ht="14.5" thickBot="1" x14ac:dyDescent="0.35">
      <c r="C148" s="166"/>
      <c r="D148" s="16"/>
      <c r="H148" s="197"/>
      <c r="I148" s="429"/>
      <c r="J148" s="430"/>
      <c r="K148" s="430"/>
      <c r="L148" s="430"/>
      <c r="M148" s="430"/>
      <c r="N148" s="430"/>
    </row>
    <row r="149" spans="3:14" ht="14.5" thickBot="1" x14ac:dyDescent="0.35">
      <c r="C149" s="166"/>
      <c r="D149" s="16"/>
      <c r="H149" s="197"/>
      <c r="I149" s="429"/>
      <c r="J149" s="430"/>
      <c r="K149" s="430"/>
      <c r="L149" s="430"/>
      <c r="M149" s="430"/>
      <c r="N149" s="430"/>
    </row>
    <row r="150" spans="3:14" ht="14.5" thickBot="1" x14ac:dyDescent="0.35">
      <c r="C150" s="166"/>
      <c r="D150" s="16"/>
      <c r="H150" s="197"/>
      <c r="I150" s="429"/>
      <c r="J150" s="430"/>
      <c r="K150" s="430"/>
      <c r="L150" s="430"/>
      <c r="M150" s="430"/>
      <c r="N150" s="430"/>
    </row>
    <row r="151" spans="3:14" ht="14.5" thickBot="1" x14ac:dyDescent="0.35">
      <c r="C151" s="166"/>
      <c r="D151" s="16"/>
      <c r="H151" s="197"/>
      <c r="I151" s="429"/>
      <c r="J151" s="430"/>
      <c r="K151" s="430"/>
      <c r="L151" s="430"/>
      <c r="M151" s="430"/>
      <c r="N151" s="430"/>
    </row>
    <row r="152" spans="3:14" ht="14.5" thickBot="1" x14ac:dyDescent="0.35">
      <c r="C152" s="166"/>
      <c r="D152" s="16"/>
      <c r="H152" s="197"/>
      <c r="I152" s="429"/>
      <c r="J152" s="430"/>
      <c r="K152" s="430"/>
      <c r="L152" s="430"/>
      <c r="M152" s="430"/>
      <c r="N152" s="430"/>
    </row>
    <row r="153" spans="3:14" ht="14.5" thickBot="1" x14ac:dyDescent="0.35">
      <c r="C153" s="166"/>
      <c r="D153" s="16"/>
      <c r="H153" s="197"/>
      <c r="I153" s="429"/>
      <c r="J153" s="430"/>
      <c r="K153" s="430"/>
      <c r="L153" s="430"/>
      <c r="M153" s="430"/>
      <c r="N153" s="430"/>
    </row>
    <row r="154" spans="3:14" ht="14.5" thickBot="1" x14ac:dyDescent="0.35">
      <c r="C154" s="166"/>
      <c r="D154" s="16"/>
      <c r="H154" s="197"/>
      <c r="I154" s="429"/>
      <c r="J154" s="430"/>
      <c r="K154" s="430"/>
      <c r="L154" s="430"/>
      <c r="M154" s="430"/>
      <c r="N154" s="430"/>
    </row>
    <row r="155" spans="3:14" ht="14.5" thickBot="1" x14ac:dyDescent="0.35">
      <c r="C155" s="166"/>
      <c r="D155" s="16"/>
      <c r="H155" s="197"/>
      <c r="I155" s="429"/>
      <c r="J155" s="430"/>
      <c r="K155" s="430"/>
      <c r="L155" s="430"/>
      <c r="M155" s="430"/>
      <c r="N155" s="430"/>
    </row>
    <row r="156" spans="3:14" ht="14.5" thickBot="1" x14ac:dyDescent="0.35">
      <c r="C156" s="166"/>
      <c r="D156" s="16"/>
      <c r="H156" s="197"/>
      <c r="I156" s="429"/>
      <c r="J156" s="430"/>
      <c r="K156" s="430"/>
      <c r="L156" s="430"/>
      <c r="M156" s="430"/>
      <c r="N156" s="430"/>
    </row>
    <row r="157" spans="3:14" ht="14.5" thickBot="1" x14ac:dyDescent="0.35">
      <c r="C157" s="166"/>
      <c r="D157" s="16"/>
      <c r="H157" s="197"/>
      <c r="I157" s="429"/>
      <c r="J157" s="430"/>
      <c r="K157" s="430"/>
      <c r="L157" s="430"/>
      <c r="M157" s="430"/>
      <c r="N157" s="430"/>
    </row>
    <row r="158" spans="3:14" ht="14.5" thickBot="1" x14ac:dyDescent="0.35">
      <c r="C158" s="166"/>
      <c r="D158" s="16"/>
      <c r="H158" s="197"/>
      <c r="I158" s="429"/>
      <c r="J158" s="430"/>
      <c r="K158" s="430"/>
      <c r="L158" s="430"/>
      <c r="M158" s="430"/>
      <c r="N158" s="430"/>
    </row>
    <row r="159" spans="3:14" ht="14.5" thickBot="1" x14ac:dyDescent="0.35">
      <c r="C159" s="166"/>
      <c r="D159" s="16"/>
      <c r="H159" s="198"/>
      <c r="I159" s="429"/>
      <c r="J159" s="430"/>
      <c r="K159" s="430"/>
      <c r="L159" s="430"/>
      <c r="M159" s="430"/>
      <c r="N159" s="430"/>
    </row>
    <row r="160" spans="3:14" x14ac:dyDescent="0.3">
      <c r="D160" s="16"/>
    </row>
    <row r="161" spans="4:4" x14ac:dyDescent="0.3">
      <c r="D161" s="16"/>
    </row>
    <row r="162" spans="4:4" x14ac:dyDescent="0.3">
      <c r="D162" s="16"/>
    </row>
    <row r="163" spans="4:4" x14ac:dyDescent="0.3">
      <c r="D163" s="16"/>
    </row>
    <row r="164" spans="4:4" x14ac:dyDescent="0.3">
      <c r="D164" s="16"/>
    </row>
    <row r="165" spans="4:4" x14ac:dyDescent="0.3">
      <c r="D165" s="16"/>
    </row>
    <row r="166" spans="4:4" x14ac:dyDescent="0.3">
      <c r="D166" s="16"/>
    </row>
    <row r="167" spans="4:4" x14ac:dyDescent="0.3">
      <c r="D167" s="16"/>
    </row>
  </sheetData>
  <sheetProtection algorithmName="SHA-512" hashValue="DzymPsKy9DzJDWeN39Fofjjdqpjjgoj2Zry3fE/iawp8c9J3GFJuWprPGzwlTpvVHQJ/7aTkC9Aig9t2pzZI0g==" saltValue="mOa8yuOuCSSH3rns1FMviA==" spinCount="100000" sheet="1" formatCells="0"/>
  <mergeCells count="87">
    <mergeCell ref="B35:D35"/>
    <mergeCell ref="H57:I57"/>
    <mergeCell ref="H63:I63"/>
    <mergeCell ref="H39:I39"/>
    <mergeCell ref="H40:I40"/>
    <mergeCell ref="H41:I41"/>
    <mergeCell ref="H42:I42"/>
    <mergeCell ref="H43:I43"/>
    <mergeCell ref="H52:I52"/>
    <mergeCell ref="H53:I53"/>
    <mergeCell ref="F24:K24"/>
    <mergeCell ref="F25:K25"/>
    <mergeCell ref="F26:K26"/>
    <mergeCell ref="F28:K28"/>
    <mergeCell ref="F35:K35"/>
    <mergeCell ref="I145:N145"/>
    <mergeCell ref="I146:N146"/>
    <mergeCell ref="I147:N147"/>
    <mergeCell ref="I152:N152"/>
    <mergeCell ref="I139:N139"/>
    <mergeCell ref="I140:N140"/>
    <mergeCell ref="I141:N141"/>
    <mergeCell ref="I142:N142"/>
    <mergeCell ref="I143:N143"/>
    <mergeCell ref="I153:N153"/>
    <mergeCell ref="I154:N154"/>
    <mergeCell ref="I149:N149"/>
    <mergeCell ref="F2:K2"/>
    <mergeCell ref="F22:K22"/>
    <mergeCell ref="I148:N148"/>
    <mergeCell ref="I150:N150"/>
    <mergeCell ref="I151:N151"/>
    <mergeCell ref="F5:K5"/>
    <mergeCell ref="F6:K6"/>
    <mergeCell ref="F7:K7"/>
    <mergeCell ref="F8:K8"/>
    <mergeCell ref="F9:K9"/>
    <mergeCell ref="F17:K17"/>
    <mergeCell ref="F18:K18"/>
    <mergeCell ref="I144:N144"/>
    <mergeCell ref="I155:N155"/>
    <mergeCell ref="I156:N156"/>
    <mergeCell ref="I157:N157"/>
    <mergeCell ref="I158:N158"/>
    <mergeCell ref="I159:N159"/>
    <mergeCell ref="B2:D2"/>
    <mergeCell ref="C4:D4"/>
    <mergeCell ref="C16:D16"/>
    <mergeCell ref="F4:K4"/>
    <mergeCell ref="F16:K16"/>
    <mergeCell ref="F10:K10"/>
    <mergeCell ref="F11:K11"/>
    <mergeCell ref="F12:K12"/>
    <mergeCell ref="F13:K13"/>
    <mergeCell ref="F14:K14"/>
    <mergeCell ref="H69:I69"/>
    <mergeCell ref="H58:I58"/>
    <mergeCell ref="H59:I59"/>
    <mergeCell ref="F30:K30"/>
    <mergeCell ref="C38:I38"/>
    <mergeCell ref="F31:K31"/>
    <mergeCell ref="F32:K32"/>
    <mergeCell ref="F33:K33"/>
    <mergeCell ref="H67:I67"/>
    <mergeCell ref="H55:I55"/>
    <mergeCell ref="H56:I56"/>
    <mergeCell ref="H45:I45"/>
    <mergeCell ref="H68:I68"/>
    <mergeCell ref="H64:I64"/>
    <mergeCell ref="H65:I65"/>
    <mergeCell ref="H66:I66"/>
    <mergeCell ref="M44:T44"/>
    <mergeCell ref="H44:I44"/>
    <mergeCell ref="P54:S54"/>
    <mergeCell ref="M16:R16"/>
    <mergeCell ref="C22:D22"/>
    <mergeCell ref="H54:I54"/>
    <mergeCell ref="D46:E46"/>
    <mergeCell ref="H46:I46"/>
    <mergeCell ref="C47:G47"/>
    <mergeCell ref="H47:I47"/>
    <mergeCell ref="H51:I51"/>
    <mergeCell ref="F19:K19"/>
    <mergeCell ref="F20:K20"/>
    <mergeCell ref="F27:K27"/>
    <mergeCell ref="F29:K29"/>
    <mergeCell ref="F23:K23"/>
  </mergeCells>
  <conditionalFormatting sqref="D29">
    <cfRule type="expression" dxfId="79" priority="3">
      <formula>$D$28="Unknown"</formula>
    </cfRule>
    <cfRule type="expression" dxfId="76" priority="8">
      <formula>$D$28="Estimation"</formula>
    </cfRule>
  </conditionalFormatting>
  <conditionalFormatting sqref="D32:D33">
    <cfRule type="expression" dxfId="75" priority="2">
      <formula>$D$31="NO"</formula>
    </cfRule>
  </conditionalFormatting>
  <dataValidations count="14">
    <dataValidation type="list" allowBlank="1" showInputMessage="1" showErrorMessage="1" sqref="H159" xr:uid="{67CC87B9-B40E-4868-BE97-09F0B5223DB5}">
      <formula1>"Yes,No"</formula1>
    </dataValidation>
    <dataValidation allowBlank="1" showInputMessage="1" showErrorMessage="1" prompt="Below 30 households, it is not eligible for AEPC subsidy" sqref="E6:F6" xr:uid="{3D70259B-87B5-48F7-87A3-2BAF18422704}"/>
    <dataValidation showDropDown="1" showInputMessage="1" showErrorMessage="1" sqref="H140:H145 H147:H158 F25 U23:U25" xr:uid="{468F09E8-BFBA-41E9-ADBF-EF6CEA13F681}"/>
    <dataValidation type="list" allowBlank="1" showInputMessage="1" showErrorMessage="1" sqref="H146" xr:uid="{2473B157-0373-4C90-A710-9591B05B669C}">
      <formula1>"Yes, No"</formula1>
    </dataValidation>
    <dataValidation type="list" allowBlank="1" showInputMessage="1" showErrorMessage="1" sqref="D24" xr:uid="{0E98A053-F47A-485C-802B-3CEEFD5EBC48}">
      <formula1>"Single Phase, Three Phase"</formula1>
    </dataValidation>
    <dataValidation type="list" allowBlank="1" showInputMessage="1" showErrorMessage="1" sqref="D31" xr:uid="{3E89CCA8-4869-4EF6-99E9-00E4EAAE9496}">
      <formula1>"YES, NO"</formula1>
    </dataValidation>
    <dataValidation type="whole" operator="greaterThan" allowBlank="1" showInputMessage="1" showErrorMessage="1" prompt="Below 30 households, it is not eligible for AEPC subsidy" sqref="D6" xr:uid="{FD93522F-0C79-4EEC-88DB-D77CA32F753F}">
      <formula1>0</formula1>
    </dataValidation>
    <dataValidation type="whole" operator="greaterThan" allowBlank="1" showInputMessage="1" showErrorMessage="1" sqref="D7" xr:uid="{9FCBCC14-AFA7-4171-AC5E-70555C6CDBDD}">
      <formula1>0</formula1>
    </dataValidation>
    <dataValidation type="whole" operator="greaterThanOrEqual" allowBlank="1" showInputMessage="1" showErrorMessage="1" sqref="D13" xr:uid="{19686BD5-92BA-411A-848A-E3D4A66BA763}">
      <formula1>0</formula1>
    </dataValidation>
    <dataValidation type="decimal" operator="greaterThanOrEqual" allowBlank="1" showInputMessage="1" showErrorMessage="1" sqref="D23 D52:G59 D32:D33 D40:E45 G40:G45 D64:G69 D25:D27" xr:uid="{2297FACD-75DB-43C4-95F6-FD03C9F7D0B7}">
      <formula1>0</formula1>
    </dataValidation>
    <dataValidation type="whole" allowBlank="1" showInputMessage="1" showErrorMessage="1" sqref="D76:AA85" xr:uid="{8D675069-0B86-453A-8479-415E97B452F7}">
      <formula1>0</formula1>
      <formula2>1</formula2>
    </dataValidation>
    <dataValidation type="list" operator="greaterThanOrEqual" allowBlank="1" showInputMessage="1" showErrorMessage="1" sqref="D28" xr:uid="{7EFA048E-148B-4379-9124-B9E7142A37FD}">
      <formula1>"Unknown, Known"</formula1>
    </dataValidation>
    <dataValidation type="textLength" operator="equal" allowBlank="1" showInputMessage="1" showErrorMessage="1" sqref="D9" xr:uid="{909AAA80-B916-47A4-A9A8-8566078BC9DE}">
      <formula1>10</formula1>
    </dataValidation>
    <dataValidation type="custom" operator="greaterThanOrEqual" allowBlank="1" showInputMessage="1" showErrorMessage="1" sqref="D29" xr:uid="{87103227-C958-48ED-B792-3DA008115900}">
      <formula1>IF(D28="Known",TRUE,FALSE)</formula1>
    </dataValidation>
  </dataValidations>
  <pageMargins left="0.7" right="0.7" top="0.75" bottom="0.75" header="0.3" footer="0.3"/>
  <pageSetup scale="30"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DA0EEE48-0A93-4529-8E45-F8A7B36E1610}">
            <xm:f>NOT(ISERROR(SEARCH($D$28,D29)))</xm:f>
            <xm:f>$D$28</xm:f>
            <x14:dxf>
              <fill>
                <patternFill>
                  <bgColor theme="2"/>
                </patternFill>
              </fill>
            </x14:dxf>
          </x14:cfRule>
          <x14:cfRule type="containsText" priority="5" operator="containsText" id="{AD17CD7D-0AEE-47C0-A5D7-D20D7EDFEB20}">
            <xm:f>NOT(ISERROR(SEARCH($D$28,D29)))</xm:f>
            <xm:f>$D$28</xm:f>
            <x14:dxf>
              <fill>
                <patternFill>
                  <fgColor rgb="FFFFC1C1"/>
                  <bgColor theme="2"/>
                </patternFill>
              </fill>
            </x14:dxf>
          </x14:cfRule>
          <xm:sqref>D29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3186C-F057-4AC9-912D-784AB3918307}">
  <sheetPr codeName="Sheet17">
    <tabColor rgb="FFC00000"/>
  </sheetPr>
  <dimension ref="A1:AU51"/>
  <sheetViews>
    <sheetView showGridLines="0" zoomScale="90" zoomScaleNormal="90" zoomScaleSheetLayoutView="40" zoomScalePageLayoutView="25" workbookViewId="0">
      <selection activeCell="A4" sqref="A4"/>
    </sheetView>
  </sheetViews>
  <sheetFormatPr defaultColWidth="8.453125" defaultRowHeight="15" thickBottom="1" x14ac:dyDescent="0.4"/>
  <cols>
    <col min="1" max="2" width="5.453125" style="142" customWidth="1"/>
    <col min="3" max="3" width="26.453125" style="142" customWidth="1"/>
    <col min="4" max="4" width="17.453125" style="142" customWidth="1"/>
    <col min="5" max="5" width="5.453125" style="142" customWidth="1"/>
    <col min="6" max="6" width="5" style="142" customWidth="1"/>
    <col min="7" max="7" width="5.453125" style="142" customWidth="1"/>
    <col min="8" max="8" width="26.453125" style="142" customWidth="1"/>
    <col min="9" max="9" width="17.453125" style="142" customWidth="1"/>
    <col min="10" max="13" width="5.453125" style="142" customWidth="1"/>
    <col min="14" max="14" width="55.453125" style="142" customWidth="1"/>
    <col min="15" max="15" width="10.453125" style="142" customWidth="1"/>
    <col min="16" max="16" width="11.453125" style="142" bestFit="1" customWidth="1"/>
    <col min="17" max="17" width="14.453125" style="142" customWidth="1"/>
    <col min="18" max="18" width="15.453125" style="142" customWidth="1"/>
    <col min="19" max="21" width="5.453125" style="142" customWidth="1"/>
    <col min="22" max="22" width="5.453125" style="156" customWidth="1"/>
    <col min="23" max="23" width="44.453125" style="142" customWidth="1"/>
    <col min="24" max="24" width="15.453125" style="156" customWidth="1"/>
    <col min="25" max="25" width="10.453125" style="156" customWidth="1"/>
    <col min="26" max="27" width="15.453125" style="156" customWidth="1"/>
    <col min="28" max="28" width="10" style="156" customWidth="1"/>
    <col min="29" max="29" width="5.453125" style="156" customWidth="1"/>
    <col min="30" max="31" width="5.453125" style="142" customWidth="1"/>
    <col min="32" max="32" width="6.453125" style="156" customWidth="1"/>
    <col min="33" max="33" width="44.453125" style="142" customWidth="1"/>
    <col min="34" max="34" width="10" style="156" customWidth="1"/>
    <col min="35" max="35" width="7.453125" style="156" customWidth="1"/>
    <col min="36" max="39" width="10" style="156" customWidth="1"/>
    <col min="40" max="40" width="5.453125" style="142" customWidth="1"/>
    <col min="41" max="16384" width="8.453125" style="142"/>
  </cols>
  <sheetData>
    <row r="1" spans="2:47" ht="12.75" customHeight="1" thickBot="1" x14ac:dyDescent="0.4">
      <c r="B1" s="141"/>
      <c r="C1" s="141"/>
      <c r="D1" s="141"/>
      <c r="E1" s="141"/>
      <c r="F1" s="141"/>
      <c r="G1" s="141"/>
      <c r="H1" s="141"/>
      <c r="I1" s="141"/>
      <c r="J1" s="141"/>
      <c r="K1" s="141"/>
      <c r="AC1" s="142"/>
      <c r="AD1" s="156"/>
      <c r="AG1" s="156"/>
      <c r="AL1" s="142"/>
      <c r="AM1" s="142"/>
      <c r="AN1" s="156"/>
      <c r="AP1" s="156"/>
      <c r="AQ1" s="156"/>
      <c r="AR1" s="156"/>
      <c r="AS1" s="156"/>
      <c r="AT1" s="156"/>
      <c r="AU1" s="156"/>
    </row>
    <row r="2" spans="2:47" ht="97.5" customHeight="1" thickBot="1" x14ac:dyDescent="0.4">
      <c r="B2" s="141"/>
      <c r="C2" s="141"/>
      <c r="D2" s="141"/>
      <c r="E2" s="141"/>
      <c r="F2" s="141"/>
      <c r="G2" s="141"/>
      <c r="H2" s="141"/>
      <c r="I2" s="141"/>
      <c r="J2" s="141"/>
      <c r="K2" s="141"/>
      <c r="AC2" s="142"/>
      <c r="AD2" s="156"/>
      <c r="AG2" s="156"/>
      <c r="AL2" s="142"/>
      <c r="AM2" s="142"/>
      <c r="AN2" s="156"/>
      <c r="AP2" s="156"/>
      <c r="AQ2" s="156"/>
      <c r="AR2" s="156"/>
      <c r="AS2" s="156"/>
      <c r="AT2" s="156"/>
      <c r="AU2" s="156"/>
    </row>
    <row r="3" spans="2:47" ht="35" customHeight="1" thickBot="1" x14ac:dyDescent="0.4">
      <c r="B3" s="457" t="s">
        <v>196</v>
      </c>
      <c r="C3" s="457"/>
      <c r="D3" s="457"/>
      <c r="E3" s="457"/>
      <c r="F3" s="457"/>
      <c r="G3" s="457"/>
      <c r="H3" s="457"/>
      <c r="I3" s="457"/>
      <c r="J3" s="457"/>
      <c r="K3" s="143"/>
      <c r="M3" s="454" t="s">
        <v>197</v>
      </c>
      <c r="N3" s="455"/>
      <c r="O3" s="455"/>
      <c r="P3" s="455"/>
      <c r="Q3" s="455"/>
      <c r="R3" s="455"/>
      <c r="S3" s="456"/>
      <c r="V3" s="457" t="s">
        <v>198</v>
      </c>
      <c r="W3" s="457"/>
      <c r="X3" s="457"/>
      <c r="Y3" s="457"/>
      <c r="Z3" s="457"/>
      <c r="AA3" s="457"/>
      <c r="AB3" s="457"/>
      <c r="AC3" s="142"/>
      <c r="AD3" s="452"/>
      <c r="AE3" s="452"/>
      <c r="AF3" s="452"/>
      <c r="AG3" s="452"/>
      <c r="AH3" s="452"/>
      <c r="AI3" s="452"/>
      <c r="AJ3" s="452"/>
      <c r="AK3" s="452"/>
      <c r="AL3" s="142"/>
      <c r="AM3" s="142"/>
      <c r="AN3" s="452"/>
      <c r="AO3" s="452"/>
      <c r="AP3" s="452"/>
      <c r="AQ3" s="452"/>
      <c r="AR3" s="452"/>
      <c r="AS3" s="452"/>
      <c r="AT3" s="452"/>
      <c r="AU3" s="452"/>
    </row>
    <row r="4" spans="2:47" ht="16.5" customHeight="1" thickBot="1" x14ac:dyDescent="0.4">
      <c r="B4" s="144"/>
      <c r="C4" s="144"/>
      <c r="D4" s="144"/>
      <c r="E4" s="144"/>
      <c r="F4" s="144"/>
      <c r="G4" s="144"/>
      <c r="H4" s="144"/>
      <c r="I4" s="144"/>
      <c r="J4" s="144"/>
      <c r="K4" s="143"/>
      <c r="V4" s="142"/>
      <c r="X4" s="142"/>
      <c r="Y4" s="142"/>
      <c r="Z4" s="142"/>
      <c r="AA4" s="142"/>
      <c r="AB4" s="142"/>
      <c r="AC4" s="142"/>
      <c r="AD4" s="265"/>
      <c r="AE4" s="265"/>
      <c r="AF4" s="265"/>
      <c r="AG4" s="265"/>
      <c r="AH4" s="265"/>
      <c r="AI4" s="265"/>
      <c r="AJ4" s="265"/>
      <c r="AK4" s="265"/>
      <c r="AL4" s="142"/>
      <c r="AM4" s="142"/>
      <c r="AN4" s="265"/>
      <c r="AO4" s="265"/>
      <c r="AP4" s="265"/>
      <c r="AQ4" s="265"/>
      <c r="AR4" s="265"/>
      <c r="AS4" s="265"/>
      <c r="AT4" s="265"/>
      <c r="AU4" s="265"/>
    </row>
    <row r="5" spans="2:47" ht="24.75" customHeight="1" thickBot="1" x14ac:dyDescent="0.4">
      <c r="B5" s="131"/>
      <c r="C5" s="145" t="str">
        <f>'2. Inputs'!C17</f>
        <v>Name of Designer</v>
      </c>
      <c r="D5" s="118" t="str">
        <f>'2. Inputs'!D17</f>
        <v>Robert Mugabe</v>
      </c>
      <c r="E5" s="131"/>
      <c r="G5" s="131"/>
      <c r="H5" s="145" t="str">
        <f>'2. Inputs'!C19</f>
        <v>Organization</v>
      </c>
      <c r="I5" s="118" t="str">
        <f>'2. Inputs'!D19</f>
        <v>RM1as</v>
      </c>
      <c r="J5" s="131"/>
      <c r="M5" s="146"/>
      <c r="N5" s="450" t="s">
        <v>199</v>
      </c>
      <c r="O5" s="451"/>
      <c r="P5" s="451"/>
      <c r="Q5" s="451"/>
      <c r="R5" s="451"/>
      <c r="S5" s="153"/>
      <c r="V5" s="142"/>
      <c r="X5" s="142"/>
      <c r="Y5" s="142"/>
      <c r="Z5" s="142"/>
      <c r="AA5" s="142"/>
      <c r="AB5" s="142"/>
      <c r="AC5" s="142"/>
      <c r="AD5" s="156"/>
      <c r="AG5" s="156"/>
      <c r="AL5" s="147"/>
      <c r="AM5" s="142"/>
      <c r="AN5" s="156"/>
      <c r="AP5" s="156"/>
      <c r="AQ5" s="156"/>
      <c r="AR5" s="156"/>
      <c r="AS5" s="156"/>
      <c r="AT5" s="156"/>
      <c r="AU5" s="156"/>
    </row>
    <row r="6" spans="2:47" ht="24.75" customHeight="1" thickBot="1" x14ac:dyDescent="0.4">
      <c r="B6" s="131"/>
      <c r="C6" s="145" t="str">
        <f>'2. Inputs'!C18</f>
        <v>Designation</v>
      </c>
      <c r="D6" s="118" t="str">
        <f>'2. Inputs'!D18</f>
        <v>Engineer</v>
      </c>
      <c r="E6" s="131"/>
      <c r="F6" s="132"/>
      <c r="G6" s="131"/>
      <c r="H6" s="133" t="s">
        <v>104</v>
      </c>
      <c r="I6" s="193">
        <f ca="1">TODAY()</f>
        <v>45394</v>
      </c>
      <c r="J6" s="134"/>
      <c r="K6" s="132"/>
      <c r="M6" s="31"/>
      <c r="N6" s="31" t="s">
        <v>200</v>
      </c>
      <c r="O6" s="23" t="s">
        <v>201</v>
      </c>
      <c r="P6" s="23" t="s">
        <v>202</v>
      </c>
      <c r="Q6" s="23" t="s">
        <v>203</v>
      </c>
      <c r="R6" s="38" t="s">
        <v>204</v>
      </c>
      <c r="S6" s="38"/>
      <c r="V6" s="142"/>
      <c r="X6" s="142"/>
      <c r="Y6" s="142"/>
      <c r="Z6" s="142"/>
      <c r="AA6" s="142"/>
      <c r="AB6" s="142"/>
      <c r="AC6" s="142"/>
      <c r="AD6" s="266"/>
      <c r="AE6" s="266"/>
      <c r="AF6" s="266"/>
      <c r="AG6" s="266"/>
      <c r="AH6" s="266"/>
      <c r="AI6" s="266"/>
      <c r="AJ6" s="266"/>
      <c r="AK6" s="266"/>
      <c r="AL6" s="142"/>
      <c r="AM6" s="142"/>
      <c r="AN6" s="266"/>
      <c r="AO6" s="266"/>
      <c r="AP6" s="266"/>
      <c r="AQ6" s="266"/>
      <c r="AR6" s="266"/>
      <c r="AS6" s="266"/>
      <c r="AT6" s="266"/>
      <c r="AU6" s="266"/>
    </row>
    <row r="7" spans="2:47" ht="39.5" thickBot="1" x14ac:dyDescent="0.4">
      <c r="B7" s="131"/>
      <c r="C7" s="133" t="s">
        <v>205</v>
      </c>
      <c r="D7" s="453" t="s">
        <v>206</v>
      </c>
      <c r="E7" s="453"/>
      <c r="F7" s="453"/>
      <c r="G7" s="453"/>
      <c r="H7" s="453"/>
      <c r="I7" s="453"/>
      <c r="J7" s="134"/>
      <c r="K7" s="148"/>
      <c r="M7" s="23"/>
      <c r="N7" s="272" t="str">
        <f>"Solar Photovoltaic Array of Minimum " &amp; 'Backend Design '!D16 &amp; " Wp Capacity where size of individual PV module at least 350Wp, Mono, Mono PERC or Poly Crystalline Silicon."</f>
        <v>Solar Photovoltaic Array of Minimum 415 Wp Capacity where size of individual PV module at least 350Wp, Mono, Mono PERC or Poly Crystalline Silicon.</v>
      </c>
      <c r="O7" s="309">
        <f>'Reference Prices'!D8</f>
        <v>41</v>
      </c>
      <c r="P7" s="137" t="s">
        <v>207</v>
      </c>
      <c r="Q7" s="105">
        <f>'Reference Prices'!F8</f>
        <v>85</v>
      </c>
      <c r="R7" s="106">
        <f>O7*Q7*1000</f>
        <v>3485000</v>
      </c>
      <c r="S7" s="137" t="s">
        <v>208</v>
      </c>
      <c r="V7" s="142"/>
      <c r="X7" s="142"/>
      <c r="Y7" s="142"/>
      <c r="Z7" s="142"/>
      <c r="AA7" s="142"/>
      <c r="AB7" s="142"/>
      <c r="AC7" s="142"/>
      <c r="AD7" s="267"/>
      <c r="AE7" s="458"/>
      <c r="AF7" s="459"/>
      <c r="AG7" s="459"/>
      <c r="AH7" s="459"/>
      <c r="AI7" s="459"/>
      <c r="AJ7" s="459"/>
      <c r="AK7" s="460"/>
      <c r="AL7" s="142"/>
      <c r="AM7" s="142"/>
      <c r="AN7" s="267"/>
      <c r="AO7" s="458"/>
      <c r="AP7" s="459"/>
      <c r="AQ7" s="459"/>
      <c r="AR7" s="459"/>
      <c r="AS7" s="459"/>
      <c r="AT7" s="459"/>
      <c r="AU7" s="460"/>
    </row>
    <row r="8" spans="2:47" ht="26.5" thickBot="1" x14ac:dyDescent="0.4">
      <c r="B8" s="131"/>
      <c r="C8" s="133" t="s">
        <v>209</v>
      </c>
      <c r="D8" s="439"/>
      <c r="E8" s="440"/>
      <c r="F8" s="440"/>
      <c r="G8" s="440"/>
      <c r="H8" s="440"/>
      <c r="I8" s="441"/>
      <c r="J8" s="134"/>
      <c r="K8" s="148"/>
      <c r="M8" s="23"/>
      <c r="N8" s="272" t="str">
        <f>"Three Phase PV Inverters with in-built solar MPPT controller of total minimum capacity " &amp; 'Backend Design '!D29 &amp; " kW"</f>
        <v>Three Phase PV Inverters with in-built solar MPPT controller of total minimum capacity 20 kW</v>
      </c>
      <c r="O8" s="309">
        <f>'Reference Prices'!D9</f>
        <v>2</v>
      </c>
      <c r="P8" s="137" t="s">
        <v>210</v>
      </c>
      <c r="Q8" s="105">
        <f>'Reference Prices'!F9</f>
        <v>560000</v>
      </c>
      <c r="R8" s="106">
        <f>O8*Q8</f>
        <v>1120000</v>
      </c>
      <c r="S8" s="137" t="s">
        <v>208</v>
      </c>
      <c r="V8" s="142"/>
      <c r="X8" s="142"/>
      <c r="Y8" s="142"/>
      <c r="Z8" s="142"/>
      <c r="AA8" s="142"/>
      <c r="AB8" s="142"/>
      <c r="AC8" s="142"/>
      <c r="AD8" s="101"/>
      <c r="AE8" s="132"/>
      <c r="AF8" s="101"/>
      <c r="AG8" s="157"/>
      <c r="AH8" s="101"/>
      <c r="AI8" s="101"/>
      <c r="AJ8" s="101"/>
      <c r="AK8" s="101"/>
      <c r="AL8" s="268"/>
      <c r="AM8" s="268"/>
      <c r="AN8" s="101"/>
      <c r="AO8" s="132"/>
      <c r="AP8" s="101"/>
      <c r="AQ8" s="157"/>
      <c r="AR8" s="269"/>
      <c r="AS8" s="269"/>
      <c r="AT8" s="269"/>
      <c r="AU8" s="269"/>
    </row>
    <row r="9" spans="2:47" ht="26.5" thickBot="1" x14ac:dyDescent="0.4">
      <c r="M9" s="23"/>
      <c r="N9" s="272" t="str">
        <f>"Off-grid Battery Inverters of total minimum capacity " &amp; 'Backend Design '!D47 &amp; " kW, stackable as master and slave for three phase supply."</f>
        <v>Off-grid Battery Inverters of total minimum capacity 54 kW, stackable as master and slave for three phase supply.</v>
      </c>
      <c r="O9" s="309">
        <f>'Reference Prices'!D10</f>
        <v>9</v>
      </c>
      <c r="P9" s="137" t="s">
        <v>210</v>
      </c>
      <c r="Q9" s="105">
        <f>'Reference Prices'!F10</f>
        <v>672400</v>
      </c>
      <c r="R9" s="106">
        <f>O9*Q9</f>
        <v>6051600</v>
      </c>
      <c r="S9" s="137" t="s">
        <v>208</v>
      </c>
      <c r="V9" s="142"/>
      <c r="X9" s="142"/>
      <c r="Y9" s="142"/>
      <c r="Z9" s="142"/>
      <c r="AA9" s="142"/>
      <c r="AB9" s="142"/>
      <c r="AC9" s="142"/>
      <c r="AD9" s="101"/>
      <c r="AE9" s="132"/>
      <c r="AF9" s="101"/>
      <c r="AG9" s="157"/>
      <c r="AH9" s="101"/>
      <c r="AI9" s="101"/>
      <c r="AJ9" s="101"/>
      <c r="AK9" s="101"/>
      <c r="AL9" s="142"/>
      <c r="AM9" s="142"/>
      <c r="AN9" s="101"/>
      <c r="AO9" s="132"/>
      <c r="AP9" s="101"/>
      <c r="AQ9" s="157"/>
      <c r="AR9" s="269"/>
      <c r="AS9" s="269"/>
      <c r="AT9" s="269"/>
      <c r="AU9" s="269"/>
    </row>
    <row r="10" spans="2:47" ht="25" customHeight="1" thickBot="1" x14ac:dyDescent="0.4">
      <c r="B10" s="138"/>
      <c r="C10" s="139" t="s">
        <v>211</v>
      </c>
      <c r="D10" s="140"/>
      <c r="E10" s="140"/>
      <c r="F10" s="140"/>
      <c r="G10" s="140"/>
      <c r="H10" s="140"/>
      <c r="I10" s="140"/>
      <c r="J10" s="146"/>
      <c r="K10" s="147"/>
      <c r="M10" s="23"/>
      <c r="N10" s="272" t="str">
        <f>'Backend Design '!D33 &amp; " battery of total minimum capacity  " &amp; 'Backend Design '!D40 &amp; "  kWh (Individual battery capacity should be at least 1000Ah@C10, 2Volt) with rack, cables and accessories."</f>
        <v>VRLA battery of total minimum capacity  109  kWh (Individual battery capacity should be at least 1000Ah@C10, 2Volt) with rack, cables and accessories.</v>
      </c>
      <c r="O10" s="310">
        <f>'Reference Prices'!D11</f>
        <v>109</v>
      </c>
      <c r="P10" s="137" t="s">
        <v>146</v>
      </c>
      <c r="Q10" s="105">
        <f>'Reference Prices'!F11</f>
        <v>42300</v>
      </c>
      <c r="R10" s="106">
        <f>O10*Q10</f>
        <v>4610700</v>
      </c>
      <c r="S10" s="137" t="s">
        <v>208</v>
      </c>
      <c r="V10" s="142"/>
      <c r="X10" s="142"/>
      <c r="Y10" s="142"/>
      <c r="Z10" s="142"/>
      <c r="AA10" s="142"/>
      <c r="AB10" s="142"/>
      <c r="AC10" s="142"/>
      <c r="AD10" s="101"/>
      <c r="AE10" s="132"/>
      <c r="AF10" s="101"/>
      <c r="AG10" s="157"/>
      <c r="AH10" s="101"/>
      <c r="AI10" s="101"/>
      <c r="AJ10" s="101"/>
      <c r="AK10" s="101"/>
      <c r="AL10" s="142"/>
      <c r="AM10" s="142"/>
      <c r="AN10" s="101"/>
      <c r="AO10" s="132"/>
      <c r="AP10" s="101"/>
      <c r="AQ10" s="157"/>
      <c r="AR10" s="269"/>
      <c r="AS10" s="269"/>
      <c r="AT10" s="269"/>
      <c r="AU10" s="269"/>
    </row>
    <row r="11" spans="2:47" ht="26.5" thickBot="1" x14ac:dyDescent="0.4">
      <c r="B11" s="131"/>
      <c r="C11" s="133" t="s">
        <v>212</v>
      </c>
      <c r="D11" s="118" t="str">
        <f>'2. Inputs'!D5</f>
        <v>Miklajung SMG</v>
      </c>
      <c r="E11" s="137"/>
      <c r="F11" s="132"/>
      <c r="G11" s="131"/>
      <c r="H11" s="145" t="str">
        <f>'2. Inputs'!C11</f>
        <v>District</v>
      </c>
      <c r="I11" s="118" t="str">
        <f>'2. Inputs'!D11</f>
        <v>Panchthar</v>
      </c>
      <c r="J11" s="137"/>
      <c r="K11" s="132"/>
      <c r="M11" s="23"/>
      <c r="N11" s="272" t="str">
        <f>"Solar PV Module support structure, hot dipped galvanized or anodized aluminium metal frame complete set for " &amp; 'Backend Design '!D24 &amp; " kWp"</f>
        <v>Solar PV Module support structure, hot dipped galvanized or anodized aluminium metal frame complete set for 41 kWp</v>
      </c>
      <c r="O11" s="309">
        <f>'Reference Prices'!D8</f>
        <v>41</v>
      </c>
      <c r="P11" s="137" t="s">
        <v>207</v>
      </c>
      <c r="Q11" s="105">
        <f>'Reference Prices'!F13</f>
        <v>18000</v>
      </c>
      <c r="R11" s="106">
        <f>O11*Q11</f>
        <v>738000</v>
      </c>
      <c r="S11" s="137" t="s">
        <v>208</v>
      </c>
      <c r="V11" s="151"/>
      <c r="W11" s="151"/>
      <c r="X11" s="151"/>
      <c r="Y11" s="151"/>
      <c r="Z11" s="151"/>
      <c r="AA11" s="151"/>
      <c r="AB11" s="151"/>
      <c r="AC11" s="142"/>
      <c r="AD11" s="101"/>
      <c r="AE11" s="132"/>
      <c r="AF11" s="101"/>
      <c r="AG11" s="157"/>
      <c r="AH11" s="101"/>
      <c r="AI11" s="101"/>
      <c r="AJ11" s="101"/>
      <c r="AK11" s="101"/>
      <c r="AL11" s="142"/>
      <c r="AM11" s="142"/>
      <c r="AN11" s="101"/>
      <c r="AO11" s="132"/>
      <c r="AP11" s="101"/>
      <c r="AQ11" s="157"/>
      <c r="AR11" s="269"/>
      <c r="AS11" s="269"/>
      <c r="AT11" s="269"/>
      <c r="AU11" s="269"/>
    </row>
    <row r="12" spans="2:47" ht="33" customHeight="1" thickBot="1" x14ac:dyDescent="0.4">
      <c r="B12" s="131"/>
      <c r="C12" s="145" t="str">
        <f>'2. Inputs'!C8</f>
        <v>Name of Chairperson</v>
      </c>
      <c r="D12" s="118" t="str">
        <f>'2. Inputs'!D8</f>
        <v>Rajesh Magar</v>
      </c>
      <c r="E12" s="137"/>
      <c r="G12" s="131"/>
      <c r="H12" s="145" t="str">
        <f>'2. Inputs'!C12</f>
        <v>R/Municipality</v>
      </c>
      <c r="I12" s="118" t="str">
        <f>'2. Inputs'!D12</f>
        <v>Sewaroo RM</v>
      </c>
      <c r="J12" s="137"/>
      <c r="K12" s="132"/>
      <c r="V12" s="142"/>
      <c r="X12" s="142"/>
      <c r="Y12" s="142"/>
      <c r="Z12" s="142"/>
      <c r="AA12" s="142"/>
      <c r="AB12" s="142"/>
      <c r="AC12" s="142"/>
      <c r="AD12" s="101"/>
      <c r="AE12" s="132"/>
      <c r="AF12" s="101"/>
      <c r="AG12" s="157"/>
      <c r="AH12" s="101"/>
      <c r="AI12" s="101"/>
      <c r="AJ12" s="101"/>
      <c r="AK12" s="101"/>
      <c r="AL12" s="142"/>
      <c r="AM12" s="142"/>
      <c r="AN12" s="101"/>
      <c r="AO12" s="132"/>
      <c r="AP12" s="101"/>
      <c r="AQ12" s="157"/>
      <c r="AR12" s="269"/>
      <c r="AS12" s="269"/>
      <c r="AT12" s="269"/>
      <c r="AU12" s="269"/>
    </row>
    <row r="13" spans="2:47" s="151" customFormat="1" ht="24.75" customHeight="1" thickBot="1" x14ac:dyDescent="0.4">
      <c r="B13" s="131"/>
      <c r="C13" s="145" t="str">
        <f>'2. Inputs'!C9</f>
        <v>Mobile No.</v>
      </c>
      <c r="D13" s="118">
        <f>'2. Inputs'!D9</f>
        <v>9812341234</v>
      </c>
      <c r="E13" s="137"/>
      <c r="G13" s="131"/>
      <c r="H13" s="145" t="str">
        <f>'2. Inputs'!C13</f>
        <v>Ward no.</v>
      </c>
      <c r="I13" s="118">
        <f>'2. Inputs'!D13</f>
        <v>10</v>
      </c>
      <c r="J13" s="137"/>
      <c r="K13" s="132"/>
      <c r="M13" s="146"/>
      <c r="N13" s="275" t="s">
        <v>213</v>
      </c>
      <c r="O13" s="276"/>
      <c r="P13" s="276"/>
      <c r="Q13" s="276"/>
      <c r="R13" s="276"/>
      <c r="S13" s="153"/>
      <c r="V13" s="142"/>
      <c r="W13" s="142"/>
      <c r="X13" s="142"/>
      <c r="Y13" s="142"/>
      <c r="Z13" s="142"/>
      <c r="AA13" s="142"/>
      <c r="AB13" s="142"/>
      <c r="AD13" s="101"/>
      <c r="AE13" s="132"/>
      <c r="AF13" s="101"/>
      <c r="AG13" s="157"/>
      <c r="AH13" s="101"/>
      <c r="AI13" s="101"/>
      <c r="AJ13" s="101"/>
      <c r="AK13" s="101"/>
      <c r="AL13" s="142"/>
      <c r="AM13" s="142"/>
      <c r="AN13" s="101"/>
      <c r="AO13" s="132"/>
      <c r="AP13" s="101"/>
      <c r="AQ13" s="157"/>
      <c r="AR13" s="269"/>
      <c r="AS13" s="269"/>
      <c r="AT13" s="269"/>
      <c r="AU13" s="269"/>
    </row>
    <row r="14" spans="2:47" ht="24.75" customHeight="1" thickBot="1" x14ac:dyDescent="0.4">
      <c r="B14" s="131"/>
      <c r="C14" s="145" t="str">
        <f>'2. Inputs'!C10</f>
        <v>Province</v>
      </c>
      <c r="D14" s="118" t="str">
        <f>'2. Inputs'!D10</f>
        <v>Koshi Province</v>
      </c>
      <c r="E14" s="137"/>
      <c r="F14" s="132"/>
      <c r="G14" s="131"/>
      <c r="H14" s="145" t="str">
        <f>'2. Inputs'!C14</f>
        <v>Tole name</v>
      </c>
      <c r="I14" s="118" t="str">
        <f>'2. Inputs'!D14</f>
        <v>Chilime</v>
      </c>
      <c r="J14" s="137"/>
      <c r="K14" s="132"/>
      <c r="M14" s="31"/>
      <c r="N14" s="31" t="s">
        <v>200</v>
      </c>
      <c r="O14" s="23" t="s">
        <v>201</v>
      </c>
      <c r="P14" s="23" t="s">
        <v>202</v>
      </c>
      <c r="Q14" s="23" t="s">
        <v>203</v>
      </c>
      <c r="R14" s="38" t="s">
        <v>204</v>
      </c>
      <c r="S14" s="38"/>
      <c r="V14" s="142"/>
      <c r="X14" s="142"/>
      <c r="Y14" s="142"/>
      <c r="Z14" s="142"/>
      <c r="AA14" s="142"/>
      <c r="AB14" s="142"/>
      <c r="AC14" s="142"/>
      <c r="AD14" s="101"/>
      <c r="AE14" s="132"/>
      <c r="AF14" s="101"/>
      <c r="AG14" s="157"/>
      <c r="AH14" s="101"/>
      <c r="AI14" s="101"/>
      <c r="AJ14" s="101"/>
      <c r="AK14" s="101"/>
      <c r="AL14" s="142"/>
      <c r="AM14" s="142"/>
      <c r="AN14" s="101"/>
      <c r="AO14" s="132"/>
      <c r="AP14" s="101"/>
      <c r="AQ14" s="157"/>
      <c r="AR14" s="269"/>
      <c r="AS14" s="269"/>
      <c r="AT14" s="269"/>
      <c r="AU14" s="269"/>
    </row>
    <row r="15" spans="2:47" ht="24.75" customHeight="1" thickBot="1" x14ac:dyDescent="0.4">
      <c r="F15" s="132"/>
      <c r="G15" s="132"/>
      <c r="H15" s="132"/>
      <c r="I15" s="132"/>
      <c r="J15" s="132"/>
      <c r="K15" s="132"/>
      <c r="M15" s="117"/>
      <c r="N15" s="124" t="s">
        <v>214</v>
      </c>
      <c r="O15" s="136"/>
      <c r="P15" s="136"/>
      <c r="Q15" s="136"/>
      <c r="R15" s="273"/>
      <c r="S15" s="274"/>
      <c r="V15" s="142"/>
      <c r="X15" s="142"/>
      <c r="Y15" s="142"/>
      <c r="Z15" s="142"/>
      <c r="AA15" s="142"/>
      <c r="AB15" s="142"/>
      <c r="AC15" s="142"/>
      <c r="AD15" s="101"/>
      <c r="AE15" s="132"/>
      <c r="AF15" s="101"/>
      <c r="AG15" s="157"/>
      <c r="AH15" s="101"/>
      <c r="AI15" s="101"/>
      <c r="AJ15" s="101"/>
      <c r="AK15" s="101"/>
      <c r="AL15" s="142"/>
      <c r="AM15" s="142"/>
      <c r="AN15" s="101"/>
      <c r="AO15" s="132"/>
      <c r="AP15" s="101"/>
      <c r="AQ15" s="157"/>
      <c r="AR15" s="269"/>
      <c r="AS15" s="269"/>
      <c r="AT15" s="269"/>
      <c r="AU15" s="269"/>
    </row>
    <row r="16" spans="2:47" ht="25" customHeight="1" thickBot="1" x14ac:dyDescent="0.4">
      <c r="B16" s="138"/>
      <c r="C16" s="139" t="s">
        <v>215</v>
      </c>
      <c r="D16" s="140"/>
      <c r="E16" s="140"/>
      <c r="F16" s="140"/>
      <c r="G16" s="140"/>
      <c r="H16" s="140"/>
      <c r="I16" s="140"/>
      <c r="J16" s="146"/>
      <c r="K16" s="132"/>
      <c r="M16" s="23"/>
      <c r="N16" s="23" t="s">
        <v>216</v>
      </c>
      <c r="O16" s="309">
        <f>'Reference Prices'!D33+'Reference Prices'!D34</f>
        <v>391</v>
      </c>
      <c r="P16" s="137" t="s">
        <v>210</v>
      </c>
      <c r="Q16" s="306"/>
      <c r="R16" s="149">
        <f>'Reference Prices'!I33+'Reference Prices'!I34</f>
        <v>8396177.5999999996</v>
      </c>
      <c r="S16" s="137" t="s">
        <v>208</v>
      </c>
      <c r="V16" s="142"/>
      <c r="X16" s="142"/>
      <c r="Y16" s="142"/>
      <c r="Z16" s="142"/>
      <c r="AA16" s="142"/>
      <c r="AB16" s="142"/>
      <c r="AC16" s="142"/>
      <c r="AD16" s="101"/>
      <c r="AE16" s="132"/>
      <c r="AF16" s="101"/>
      <c r="AG16" s="157"/>
      <c r="AH16" s="101"/>
      <c r="AI16" s="101"/>
      <c r="AJ16" s="101"/>
      <c r="AK16" s="101"/>
      <c r="AL16" s="142"/>
      <c r="AM16" s="142"/>
      <c r="AN16" s="101"/>
      <c r="AO16" s="132"/>
      <c r="AP16" s="101"/>
      <c r="AQ16" s="157"/>
      <c r="AR16" s="269"/>
      <c r="AS16" s="269"/>
      <c r="AT16" s="269"/>
      <c r="AU16" s="269"/>
    </row>
    <row r="17" spans="2:47" ht="24.75" customHeight="1" thickBot="1" x14ac:dyDescent="0.4">
      <c r="B17" s="131"/>
      <c r="C17" s="145" t="str">
        <f>'Backend Design '!C24</f>
        <v>PV Array Size(kW)</v>
      </c>
      <c r="D17" s="303">
        <f>'Backend Design '!D24</f>
        <v>41</v>
      </c>
      <c r="E17" s="137" t="s">
        <v>145</v>
      </c>
      <c r="F17" s="132"/>
      <c r="G17" s="131"/>
      <c r="H17" s="145" t="str">
        <f>'2. Inputs'!C24</f>
        <v>NEA grid supply phase</v>
      </c>
      <c r="I17" s="304" t="str">
        <f>'2. Inputs'!D24</f>
        <v>Three Phase</v>
      </c>
      <c r="J17" s="137"/>
      <c r="M17" s="117"/>
      <c r="N17" s="124" t="s">
        <v>217</v>
      </c>
      <c r="O17" s="136"/>
      <c r="P17" s="136"/>
      <c r="Q17" s="302"/>
      <c r="R17" s="273"/>
      <c r="S17" s="274"/>
      <c r="V17" s="142"/>
      <c r="X17" s="142"/>
      <c r="Y17" s="142"/>
      <c r="Z17" s="142"/>
      <c r="AA17" s="142"/>
      <c r="AB17" s="142"/>
      <c r="AC17" s="142"/>
      <c r="AD17" s="101"/>
      <c r="AE17" s="132"/>
      <c r="AF17" s="101"/>
      <c r="AG17" s="157"/>
      <c r="AH17" s="101"/>
      <c r="AI17" s="101"/>
      <c r="AJ17" s="101"/>
      <c r="AK17" s="101"/>
      <c r="AL17" s="151"/>
      <c r="AM17" s="151"/>
      <c r="AN17" s="101"/>
      <c r="AO17" s="132"/>
      <c r="AP17" s="101"/>
      <c r="AQ17" s="157"/>
      <c r="AR17" s="269"/>
      <c r="AS17" s="269"/>
      <c r="AT17" s="269"/>
      <c r="AU17" s="269"/>
    </row>
    <row r="18" spans="2:47" ht="24.75" customHeight="1" thickBot="1" x14ac:dyDescent="0.4">
      <c r="B18" s="131"/>
      <c r="C18" s="145" t="str">
        <f>'Backend Design '!C27</f>
        <v>Size of PV Inverter Required(kW)</v>
      </c>
      <c r="D18" s="303">
        <f>'Backend Design '!D29*'Backend Design '!D30</f>
        <v>40</v>
      </c>
      <c r="E18" s="137" t="s">
        <v>145</v>
      </c>
      <c r="F18" s="132"/>
      <c r="G18" s="131"/>
      <c r="H18" s="145" t="str">
        <f>'Backend Design '!C47</f>
        <v>Total battery Inverter Size (kW)</v>
      </c>
      <c r="I18" s="304">
        <f>'Backend Design '!D47</f>
        <v>54</v>
      </c>
      <c r="J18" s="137" t="s">
        <v>145</v>
      </c>
      <c r="M18" s="23"/>
      <c r="N18" s="23" t="s">
        <v>560</v>
      </c>
      <c r="O18" s="311">
        <f>'Reference Prices'!D35+'Reference Prices'!D36</f>
        <v>11.715682696700874</v>
      </c>
      <c r="P18" s="137" t="s">
        <v>221</v>
      </c>
      <c r="Q18" s="306"/>
      <c r="R18" s="149">
        <f>'Reference Prices'!I35+'Reference Prices'!I36</f>
        <v>7545485.440810198</v>
      </c>
      <c r="S18" s="137" t="s">
        <v>208</v>
      </c>
      <c r="V18" s="142"/>
      <c r="X18" s="142"/>
      <c r="Y18" s="142"/>
      <c r="Z18" s="142"/>
      <c r="AA18" s="142"/>
      <c r="AB18" s="142"/>
      <c r="AC18" s="142"/>
      <c r="AD18" s="101"/>
      <c r="AE18" s="132"/>
      <c r="AF18" s="101"/>
      <c r="AG18" s="157"/>
      <c r="AH18" s="101"/>
      <c r="AI18" s="101"/>
      <c r="AJ18" s="101"/>
      <c r="AK18" s="101"/>
      <c r="AL18" s="151"/>
      <c r="AM18" s="151"/>
      <c r="AN18" s="101"/>
      <c r="AO18" s="132"/>
      <c r="AP18" s="101"/>
      <c r="AQ18" s="157"/>
      <c r="AR18" s="269"/>
      <c r="AS18" s="269"/>
      <c r="AT18" s="269"/>
      <c r="AU18" s="269"/>
    </row>
    <row r="19" spans="2:47" ht="24.75" customHeight="1" thickBot="1" x14ac:dyDescent="0.4">
      <c r="B19" s="131"/>
      <c r="C19" s="145" t="s">
        <v>218</v>
      </c>
      <c r="D19" s="303">
        <f>IF('2. Inputs'!D28="Known", '2. Inputs'!D29, '2. Inputs'!D30)</f>
        <v>11715.682696700873</v>
      </c>
      <c r="E19" s="137" t="s">
        <v>219</v>
      </c>
      <c r="G19" s="131"/>
      <c r="H19" s="145" t="s">
        <v>220</v>
      </c>
      <c r="I19" s="304">
        <f>'2. Inputs'!D23</f>
        <v>100</v>
      </c>
      <c r="J19" s="137" t="s">
        <v>221</v>
      </c>
      <c r="M19" s="23"/>
      <c r="N19" s="23" t="s">
        <v>222</v>
      </c>
      <c r="O19" s="312">
        <f>'Reference Prices'!D38</f>
        <v>196</v>
      </c>
      <c r="P19" s="137" t="s">
        <v>210</v>
      </c>
      <c r="Q19" s="306">
        <f>'Reference Prices'!F38</f>
        <v>2050</v>
      </c>
      <c r="R19" s="149">
        <f>Q19*O19</f>
        <v>401800</v>
      </c>
      <c r="S19" s="137" t="s">
        <v>208</v>
      </c>
      <c r="V19" s="142"/>
      <c r="X19" s="142"/>
      <c r="Y19" s="142"/>
      <c r="Z19" s="142"/>
      <c r="AA19" s="142"/>
      <c r="AB19" s="142"/>
      <c r="AC19" s="142"/>
      <c r="AD19" s="101"/>
      <c r="AE19" s="132"/>
      <c r="AF19" s="101"/>
      <c r="AG19" s="157"/>
      <c r="AH19" s="101"/>
      <c r="AI19" s="101"/>
      <c r="AJ19" s="101"/>
      <c r="AK19" s="101"/>
      <c r="AL19" s="151"/>
      <c r="AM19" s="151"/>
      <c r="AN19" s="101"/>
      <c r="AO19" s="132"/>
      <c r="AP19" s="101"/>
      <c r="AQ19" s="157"/>
      <c r="AR19" s="269"/>
      <c r="AS19" s="269"/>
      <c r="AT19" s="269"/>
      <c r="AU19" s="269"/>
    </row>
    <row r="20" spans="2:47" ht="24.75" customHeight="1" thickBot="1" x14ac:dyDescent="0.4">
      <c r="B20" s="131"/>
      <c r="C20" s="145" t="s">
        <v>223</v>
      </c>
      <c r="D20" s="303">
        <f>'Backend Design '!D40</f>
        <v>109</v>
      </c>
      <c r="E20" s="137" t="s">
        <v>146</v>
      </c>
      <c r="G20" s="131"/>
      <c r="H20" s="145"/>
      <c r="I20" s="118"/>
      <c r="J20" s="137"/>
      <c r="M20" s="23"/>
      <c r="N20" s="23" t="s">
        <v>224</v>
      </c>
      <c r="O20" s="311">
        <f>'Reference Prices'!D40</f>
        <v>3</v>
      </c>
      <c r="P20" s="137" t="s">
        <v>210</v>
      </c>
      <c r="Q20" s="306">
        <f>'Reference Prices'!F40</f>
        <v>910</v>
      </c>
      <c r="R20" s="149">
        <f>Q20*O20</f>
        <v>2730</v>
      </c>
      <c r="S20" s="137" t="s">
        <v>208</v>
      </c>
      <c r="V20" s="142"/>
      <c r="X20" s="142"/>
      <c r="Y20" s="142"/>
      <c r="Z20" s="142"/>
      <c r="AA20" s="142"/>
      <c r="AB20" s="142"/>
      <c r="AC20" s="142"/>
      <c r="AD20" s="101"/>
      <c r="AE20" s="132"/>
      <c r="AF20" s="101"/>
      <c r="AG20" s="157"/>
      <c r="AH20" s="101"/>
      <c r="AI20" s="101"/>
      <c r="AJ20" s="101"/>
      <c r="AK20" s="101"/>
      <c r="AL20" s="151"/>
      <c r="AM20" s="151"/>
      <c r="AN20" s="101"/>
      <c r="AO20" s="132"/>
      <c r="AP20" s="101"/>
      <c r="AQ20" s="157"/>
      <c r="AR20" s="269"/>
      <c r="AS20" s="269"/>
      <c r="AT20" s="269"/>
      <c r="AU20" s="269"/>
    </row>
    <row r="21" spans="2:47" ht="24.75" customHeight="1" thickBot="1" x14ac:dyDescent="0.4">
      <c r="K21" s="147"/>
      <c r="M21" s="23"/>
      <c r="N21" s="23" t="s">
        <v>226</v>
      </c>
      <c r="O21" s="312">
        <f>'Reference Prices'!D41</f>
        <v>1</v>
      </c>
      <c r="P21" s="137" t="s">
        <v>210</v>
      </c>
      <c r="Q21" s="306">
        <f>'Reference Prices'!F41</f>
        <v>20000</v>
      </c>
      <c r="R21" s="149">
        <f>Q21*O21</f>
        <v>20000</v>
      </c>
      <c r="S21" s="137" t="s">
        <v>208</v>
      </c>
      <c r="V21" s="151"/>
      <c r="W21" s="151"/>
      <c r="X21" s="151"/>
      <c r="Y21" s="151"/>
      <c r="Z21" s="151"/>
      <c r="AA21" s="151"/>
      <c r="AB21" s="151"/>
      <c r="AC21" s="142"/>
      <c r="AD21" s="101"/>
      <c r="AE21" s="132"/>
      <c r="AF21" s="101"/>
      <c r="AG21" s="157"/>
      <c r="AH21" s="101"/>
      <c r="AI21" s="101"/>
      <c r="AJ21" s="101"/>
      <c r="AK21" s="101"/>
      <c r="AL21" s="142"/>
      <c r="AM21" s="142"/>
      <c r="AN21" s="101"/>
      <c r="AO21" s="132"/>
      <c r="AP21" s="101"/>
      <c r="AQ21" s="157"/>
      <c r="AR21" s="269"/>
      <c r="AS21" s="269"/>
      <c r="AT21" s="269"/>
      <c r="AU21" s="269"/>
    </row>
    <row r="22" spans="2:47" ht="25" customHeight="1" thickBot="1" x14ac:dyDescent="0.4">
      <c r="B22" s="138"/>
      <c r="C22" s="139" t="s">
        <v>225</v>
      </c>
      <c r="D22" s="140"/>
      <c r="E22" s="140"/>
      <c r="F22" s="140"/>
      <c r="G22" s="140"/>
      <c r="H22" s="140"/>
      <c r="I22" s="140"/>
      <c r="J22" s="146"/>
      <c r="K22" s="132"/>
      <c r="M22" s="23"/>
      <c r="N22" s="23" t="str">
        <f>'Reference Prices'!C37</f>
        <v>ABC cable accessories (clamps, connectors etc. )</v>
      </c>
      <c r="O22" s="311">
        <f>'Reference Prices'!D37</f>
        <v>1</v>
      </c>
      <c r="P22" s="137" t="s">
        <v>340</v>
      </c>
      <c r="Q22" s="306">
        <f>'Reference Prices'!F37</f>
        <v>754548.54408101982</v>
      </c>
      <c r="R22" s="149">
        <f>Q22*O22</f>
        <v>754548.54408101982</v>
      </c>
      <c r="S22" s="137" t="s">
        <v>208</v>
      </c>
      <c r="V22" s="142"/>
      <c r="X22" s="142"/>
      <c r="Y22" s="142"/>
      <c r="Z22" s="142"/>
      <c r="AA22" s="142"/>
      <c r="AB22" s="142"/>
      <c r="AC22" s="142"/>
      <c r="AD22" s="101"/>
      <c r="AE22" s="132"/>
      <c r="AF22" s="101"/>
      <c r="AG22" s="157"/>
      <c r="AH22" s="101"/>
      <c r="AI22" s="101"/>
      <c r="AJ22" s="101"/>
      <c r="AK22" s="101"/>
      <c r="AL22" s="142"/>
      <c r="AM22" s="142"/>
      <c r="AN22" s="101"/>
      <c r="AO22" s="132"/>
      <c r="AP22" s="101"/>
      <c r="AQ22" s="157"/>
      <c r="AR22" s="269"/>
      <c r="AS22" s="269"/>
      <c r="AT22" s="269"/>
      <c r="AU22" s="269"/>
    </row>
    <row r="23" spans="2:47" s="151" customFormat="1" ht="31" customHeight="1" thickBot="1" x14ac:dyDescent="0.4">
      <c r="B23" s="131"/>
      <c r="C23" s="145" t="s">
        <v>568</v>
      </c>
      <c r="D23" s="303">
        <f>O38</f>
        <v>39400349.22378011</v>
      </c>
      <c r="E23" s="137" t="s">
        <v>227</v>
      </c>
      <c r="F23" s="132"/>
      <c r="G23" s="131"/>
      <c r="H23" s="145" t="s">
        <v>589</v>
      </c>
      <c r="I23" s="303">
        <f>D23/D17</f>
        <v>960984.12740927096</v>
      </c>
      <c r="J23" s="137" t="s">
        <v>227</v>
      </c>
      <c r="K23" s="132"/>
      <c r="V23" s="147"/>
      <c r="W23" s="147"/>
      <c r="X23" s="147"/>
      <c r="Y23" s="147"/>
      <c r="Z23" s="147"/>
      <c r="AA23" s="147"/>
      <c r="AB23" s="147"/>
      <c r="AD23" s="101"/>
      <c r="AE23" s="132"/>
      <c r="AF23" s="101"/>
      <c r="AG23" s="157"/>
      <c r="AH23" s="101"/>
      <c r="AI23" s="101"/>
      <c r="AJ23" s="101"/>
      <c r="AK23" s="101"/>
      <c r="AL23" s="142"/>
      <c r="AM23" s="142"/>
      <c r="AN23" s="101"/>
      <c r="AO23" s="132"/>
      <c r="AP23" s="101"/>
      <c r="AQ23" s="157"/>
      <c r="AR23" s="269"/>
      <c r="AS23" s="269"/>
      <c r="AT23" s="269"/>
      <c r="AU23" s="269"/>
    </row>
    <row r="24" spans="2:47" thickBot="1" x14ac:dyDescent="0.4">
      <c r="B24" s="132"/>
      <c r="C24" s="152"/>
      <c r="D24" s="150"/>
      <c r="E24" s="132"/>
      <c r="F24" s="132"/>
      <c r="G24" s="132"/>
      <c r="H24" s="132"/>
      <c r="I24" s="132"/>
      <c r="J24" s="132"/>
      <c r="V24" s="150"/>
      <c r="W24" s="150"/>
      <c r="X24" s="150"/>
      <c r="Y24" s="150"/>
      <c r="Z24" s="150"/>
      <c r="AA24" s="150"/>
      <c r="AB24" s="150"/>
      <c r="AC24" s="142"/>
      <c r="AD24" s="101"/>
      <c r="AE24" s="132"/>
      <c r="AF24" s="101"/>
      <c r="AG24" s="157"/>
      <c r="AH24" s="101"/>
      <c r="AI24" s="101"/>
      <c r="AJ24" s="101"/>
      <c r="AK24" s="101"/>
      <c r="AL24" s="142"/>
      <c r="AM24" s="142"/>
      <c r="AN24" s="101"/>
      <c r="AO24" s="132"/>
      <c r="AP24" s="101"/>
      <c r="AQ24" s="157"/>
      <c r="AR24" s="269"/>
      <c r="AS24" s="269"/>
      <c r="AT24" s="269"/>
      <c r="AU24" s="269"/>
    </row>
    <row r="25" spans="2:47" ht="25" customHeight="1" thickBot="1" x14ac:dyDescent="0.4">
      <c r="B25" s="138"/>
      <c r="C25" s="139" t="s">
        <v>228</v>
      </c>
      <c r="D25" s="140"/>
      <c r="E25" s="140"/>
      <c r="F25" s="140"/>
      <c r="G25" s="140"/>
      <c r="H25" s="140"/>
      <c r="I25" s="140"/>
      <c r="J25" s="146"/>
      <c r="K25" s="132"/>
      <c r="M25" s="23"/>
      <c r="N25" s="23" t="s">
        <v>229</v>
      </c>
      <c r="O25" s="311"/>
      <c r="P25" s="137"/>
      <c r="Q25" s="306"/>
      <c r="R25" s="149"/>
      <c r="S25" s="137"/>
      <c r="V25" s="142"/>
      <c r="X25" s="142"/>
      <c r="Y25" s="142"/>
      <c r="Z25" s="142"/>
      <c r="AA25" s="142"/>
      <c r="AB25" s="142"/>
      <c r="AC25" s="142"/>
      <c r="AD25" s="101"/>
      <c r="AE25" s="132"/>
      <c r="AF25" s="101"/>
      <c r="AG25" s="157"/>
      <c r="AH25" s="101"/>
      <c r="AI25" s="101"/>
      <c r="AJ25" s="101"/>
      <c r="AK25" s="101"/>
      <c r="AL25" s="142"/>
      <c r="AM25" s="142"/>
      <c r="AN25" s="101"/>
      <c r="AO25" s="132"/>
      <c r="AP25" s="101"/>
      <c r="AQ25" s="157"/>
      <c r="AR25" s="269"/>
      <c r="AS25" s="269"/>
      <c r="AT25" s="269"/>
      <c r="AU25" s="269"/>
    </row>
    <row r="26" spans="2:47" ht="24.75" customHeight="1" thickBot="1" x14ac:dyDescent="0.4">
      <c r="B26" s="131"/>
      <c r="C26" s="133" t="str">
        <f>'2. Inputs'!C6</f>
        <v>No. Beneficiaries Households</v>
      </c>
      <c r="D26" s="304">
        <f>'2. Inputs'!D6</f>
        <v>100</v>
      </c>
      <c r="E26" s="137" t="s">
        <v>230</v>
      </c>
      <c r="F26" s="151"/>
      <c r="G26" s="131"/>
      <c r="H26" s="133" t="s">
        <v>562</v>
      </c>
      <c r="I26" s="304">
        <f>'2. Inputs'!D7</f>
        <v>21</v>
      </c>
      <c r="J26" s="137" t="s">
        <v>231</v>
      </c>
      <c r="K26" s="132"/>
      <c r="M26" s="146"/>
      <c r="N26" s="275" t="s">
        <v>232</v>
      </c>
      <c r="O26" s="276"/>
      <c r="P26" s="276"/>
      <c r="Q26" s="276"/>
      <c r="R26" s="276"/>
      <c r="S26" s="153"/>
      <c r="T26" s="150"/>
      <c r="U26" s="150"/>
      <c r="V26" s="150"/>
      <c r="W26" s="150"/>
      <c r="X26" s="150"/>
      <c r="Y26" s="150"/>
      <c r="Z26" s="150"/>
      <c r="AA26" s="150"/>
      <c r="AB26" s="150"/>
      <c r="AC26" s="142"/>
      <c r="AD26" s="101"/>
      <c r="AE26" s="132"/>
      <c r="AF26" s="101"/>
      <c r="AG26" s="157"/>
      <c r="AH26" s="101"/>
      <c r="AI26" s="101"/>
      <c r="AJ26" s="101"/>
      <c r="AK26" s="101"/>
      <c r="AL26" s="142"/>
      <c r="AM26" s="142"/>
      <c r="AN26" s="101"/>
      <c r="AO26" s="132"/>
      <c r="AP26" s="101"/>
      <c r="AQ26" s="157"/>
      <c r="AR26" s="269"/>
      <c r="AS26" s="269"/>
      <c r="AT26" s="269"/>
      <c r="AU26" s="269"/>
    </row>
    <row r="27" spans="2:47" ht="24.75" customHeight="1" thickBot="1" x14ac:dyDescent="0.4">
      <c r="B27" s="131"/>
      <c r="C27" s="145" t="s">
        <v>233</v>
      </c>
      <c r="D27" s="305">
        <f>IF('2. Inputs'!D31 = "NO", '2. Inputs'!F48, "")</f>
        <v>30</v>
      </c>
      <c r="E27" s="137" t="s">
        <v>145</v>
      </c>
      <c r="F27" s="150"/>
      <c r="G27" s="131"/>
      <c r="H27" s="145" t="s">
        <v>234</v>
      </c>
      <c r="I27" s="314">
        <f>IF('2. Inputs'!D31 = "NO", '2. Inputs'!H60, "")</f>
        <v>33.42</v>
      </c>
      <c r="J27" s="137" t="s">
        <v>146</v>
      </c>
      <c r="K27" s="132"/>
      <c r="M27" s="38"/>
      <c r="N27" s="23" t="s">
        <v>235</v>
      </c>
      <c r="O27" s="309">
        <f>'Reference Prices'!D39</f>
        <v>2</v>
      </c>
      <c r="P27" s="137" t="s">
        <v>221</v>
      </c>
      <c r="Q27" s="307">
        <f>'Reference Prices'!F39</f>
        <v>29675</v>
      </c>
      <c r="R27" s="149">
        <f>Q27*O27</f>
        <v>59350</v>
      </c>
      <c r="S27" s="137" t="s">
        <v>208</v>
      </c>
      <c r="T27" s="147"/>
      <c r="U27" s="150"/>
      <c r="V27" s="147"/>
      <c r="W27" s="147"/>
      <c r="X27" s="147"/>
      <c r="Y27" s="147"/>
      <c r="Z27" s="147"/>
      <c r="AA27" s="147"/>
      <c r="AB27" s="147"/>
      <c r="AC27" s="142"/>
      <c r="AD27" s="101"/>
      <c r="AE27" s="132"/>
      <c r="AF27" s="101"/>
      <c r="AG27" s="157"/>
      <c r="AH27" s="101"/>
      <c r="AI27" s="101"/>
      <c r="AJ27" s="101"/>
      <c r="AK27" s="101"/>
      <c r="AL27" s="151"/>
      <c r="AM27" s="151"/>
      <c r="AN27" s="101"/>
      <c r="AO27" s="132"/>
      <c r="AP27" s="101"/>
      <c r="AQ27" s="157"/>
      <c r="AR27" s="269"/>
      <c r="AS27" s="269"/>
      <c r="AT27" s="269"/>
      <c r="AU27" s="269"/>
    </row>
    <row r="28" spans="2:47" ht="24.75" customHeight="1" thickBot="1" x14ac:dyDescent="0.4">
      <c r="B28" s="131"/>
      <c r="C28" s="145" t="s">
        <v>236</v>
      </c>
      <c r="D28" s="305">
        <f>IF('2. Inputs'!D31 = "NO", '2. Inputs'!H48, "")</f>
        <v>30</v>
      </c>
      <c r="E28" s="137" t="s">
        <v>146</v>
      </c>
      <c r="F28" s="150"/>
      <c r="G28" s="131"/>
      <c r="H28" s="145" t="s">
        <v>237</v>
      </c>
      <c r="I28" s="305">
        <f>IF('2. Inputs'!D31 = "NO", '2. Inputs'!F70, "")</f>
        <v>5.7540899999999997</v>
      </c>
      <c r="J28" s="137" t="s">
        <v>145</v>
      </c>
      <c r="K28" s="132"/>
      <c r="M28" s="38"/>
      <c r="N28" s="23" t="s">
        <v>238</v>
      </c>
      <c r="O28" s="313">
        <f>'Reference Prices'!D42</f>
        <v>110.00000000000001</v>
      </c>
      <c r="P28" s="137" t="s">
        <v>210</v>
      </c>
      <c r="Q28" s="308">
        <f>'Reference Prices'!F42</f>
        <v>6200</v>
      </c>
      <c r="R28" s="149">
        <f>Q28*O28</f>
        <v>682000.00000000012</v>
      </c>
      <c r="S28" s="137" t="s">
        <v>208</v>
      </c>
      <c r="T28" s="150"/>
      <c r="U28" s="150"/>
      <c r="V28" s="150"/>
      <c r="W28" s="150"/>
      <c r="X28" s="150"/>
      <c r="Y28" s="150"/>
      <c r="Z28" s="150"/>
      <c r="AA28" s="150"/>
      <c r="AB28" s="150"/>
      <c r="AC28" s="142"/>
      <c r="AD28" s="101"/>
      <c r="AE28" s="132"/>
      <c r="AF28" s="101"/>
      <c r="AG28" s="157"/>
      <c r="AH28" s="101"/>
      <c r="AI28" s="101"/>
      <c r="AJ28" s="101"/>
      <c r="AK28" s="101"/>
      <c r="AL28" s="142"/>
      <c r="AM28" s="142"/>
      <c r="AN28" s="101"/>
      <c r="AO28" s="132"/>
      <c r="AP28" s="101"/>
      <c r="AQ28" s="157"/>
      <c r="AR28" s="269"/>
      <c r="AS28" s="269"/>
      <c r="AT28" s="269"/>
      <c r="AU28" s="269"/>
    </row>
    <row r="29" spans="2:47" ht="24.75" customHeight="1" thickBot="1" x14ac:dyDescent="0.4">
      <c r="B29" s="131"/>
      <c r="C29" s="145" t="s">
        <v>239</v>
      </c>
      <c r="D29" s="304">
        <f>IF('2. Inputs'!D31 = "NO", '2. Inputs'!F60, "")</f>
        <v>19.14</v>
      </c>
      <c r="E29" s="137" t="s">
        <v>145</v>
      </c>
      <c r="F29" s="150"/>
      <c r="G29" s="131"/>
      <c r="H29" s="145" t="s">
        <v>240</v>
      </c>
      <c r="I29" s="315">
        <f>IF('2. Inputs'!D31 = "NO", '2. Inputs'!H70, "")</f>
        <v>63.024540000000002</v>
      </c>
      <c r="J29" s="137" t="s">
        <v>146</v>
      </c>
      <c r="K29" s="132"/>
      <c r="M29" s="38"/>
      <c r="N29" s="23" t="s">
        <v>241</v>
      </c>
      <c r="O29" s="309">
        <f>O28</f>
        <v>110.00000000000001</v>
      </c>
      <c r="P29" s="137" t="s">
        <v>210</v>
      </c>
      <c r="Q29" s="307">
        <f>'Reference Prices'!F45</f>
        <v>760</v>
      </c>
      <c r="R29" s="149">
        <f>Q29*O29</f>
        <v>83600.000000000015</v>
      </c>
      <c r="S29" s="137" t="s">
        <v>208</v>
      </c>
      <c r="T29" s="150"/>
      <c r="U29" s="147"/>
      <c r="V29" s="150"/>
      <c r="W29" s="150"/>
      <c r="X29" s="150"/>
      <c r="Y29" s="150"/>
      <c r="Z29" s="150"/>
      <c r="AA29" s="150"/>
      <c r="AB29" s="150"/>
      <c r="AC29" s="142"/>
      <c r="AD29" s="156"/>
      <c r="AG29" s="156"/>
      <c r="AL29" s="151"/>
      <c r="AM29" s="151"/>
      <c r="AN29" s="101"/>
      <c r="AO29" s="132"/>
      <c r="AP29" s="101"/>
      <c r="AQ29" s="157"/>
      <c r="AR29" s="269"/>
      <c r="AS29" s="269"/>
      <c r="AT29" s="269"/>
      <c r="AU29" s="269"/>
    </row>
    <row r="30" spans="2:47" ht="24.75" customHeight="1" thickBot="1" x14ac:dyDescent="0.4">
      <c r="K30" s="132"/>
      <c r="M30" s="146"/>
      <c r="N30" s="275" t="s">
        <v>242</v>
      </c>
      <c r="O30" s="276"/>
      <c r="P30" s="276"/>
      <c r="Q30" s="276"/>
      <c r="R30" s="276"/>
      <c r="S30" s="153"/>
      <c r="T30" s="150"/>
      <c r="U30" s="150"/>
      <c r="V30" s="150"/>
      <c r="W30" s="150"/>
      <c r="X30" s="150"/>
      <c r="Y30" s="150"/>
      <c r="Z30" s="150"/>
      <c r="AA30" s="150"/>
      <c r="AB30" s="150"/>
      <c r="AC30" s="142"/>
      <c r="AD30" s="156"/>
      <c r="AG30" s="156"/>
      <c r="AL30" s="142"/>
      <c r="AM30" s="142"/>
      <c r="AN30" s="101"/>
      <c r="AO30" s="132"/>
      <c r="AP30" s="442"/>
      <c r="AQ30" s="447"/>
      <c r="AR30" s="443"/>
      <c r="AS30" s="442"/>
      <c r="AT30" s="443"/>
      <c r="AU30" s="148"/>
    </row>
    <row r="31" spans="2:47" ht="24.75" customHeight="1" thickBot="1" x14ac:dyDescent="0.4">
      <c r="K31" s="132"/>
      <c r="M31" s="38"/>
      <c r="N31" s="23" t="s">
        <v>235</v>
      </c>
      <c r="O31" s="313">
        <f>IF('2. Inputs'!D31="NO",(SUM('2. Inputs'!D52:D59))*20,20*SUM('2. Inputs'!D52:D57))</f>
        <v>420</v>
      </c>
      <c r="P31" s="137" t="s">
        <v>561</v>
      </c>
      <c r="Q31" s="308">
        <f>Q27/1000</f>
        <v>29.675000000000001</v>
      </c>
      <c r="R31" s="149">
        <f t="shared" ref="R31:R32" si="0">Q31*O31</f>
        <v>12463.5</v>
      </c>
      <c r="S31" s="137" t="s">
        <v>208</v>
      </c>
      <c r="T31" s="150"/>
      <c r="U31" s="150"/>
      <c r="V31" s="150"/>
      <c r="W31" s="150"/>
      <c r="X31" s="150"/>
      <c r="Y31" s="150"/>
      <c r="Z31" s="150"/>
      <c r="AA31" s="150"/>
      <c r="AB31" s="150"/>
      <c r="AC31" s="142"/>
      <c r="AD31" s="156"/>
      <c r="AG31" s="156"/>
      <c r="AL31" s="142"/>
      <c r="AM31" s="142"/>
      <c r="AN31" s="101"/>
      <c r="AO31" s="132"/>
      <c r="AP31" s="101"/>
      <c r="AQ31" s="157"/>
      <c r="AR31" s="269"/>
      <c r="AS31" s="269"/>
      <c r="AT31" s="269"/>
      <c r="AU31" s="269"/>
    </row>
    <row r="32" spans="2:47" s="151" customFormat="1" ht="24.75" customHeight="1" thickBot="1" x14ac:dyDescent="0.4">
      <c r="K32" s="132"/>
      <c r="M32" s="38"/>
      <c r="N32" s="23" t="s">
        <v>243</v>
      </c>
      <c r="O32" s="313">
        <f>'Reference Prices'!D43</f>
        <v>23</v>
      </c>
      <c r="P32" s="137" t="s">
        <v>210</v>
      </c>
      <c r="Q32" s="307">
        <f>'Reference Prices'!F43</f>
        <v>11750</v>
      </c>
      <c r="R32" s="149">
        <f t="shared" si="0"/>
        <v>270250</v>
      </c>
      <c r="S32" s="137" t="s">
        <v>208</v>
      </c>
      <c r="T32" s="150"/>
      <c r="U32" s="150"/>
      <c r="V32" s="150"/>
      <c r="W32" s="150"/>
      <c r="X32" s="150"/>
      <c r="Y32" s="150"/>
      <c r="Z32" s="150"/>
      <c r="AA32" s="150"/>
      <c r="AB32" s="150"/>
      <c r="AD32" s="101"/>
      <c r="AE32" s="132"/>
      <c r="AF32" s="101"/>
      <c r="AG32" s="157"/>
      <c r="AH32" s="101"/>
      <c r="AI32" s="101"/>
      <c r="AJ32" s="101"/>
      <c r="AK32" s="101"/>
      <c r="AL32" s="142"/>
      <c r="AM32" s="142"/>
      <c r="AN32" s="270"/>
      <c r="AP32" s="270"/>
      <c r="AQ32" s="270"/>
      <c r="AR32" s="270"/>
      <c r="AS32" s="270"/>
      <c r="AT32" s="270"/>
      <c r="AU32" s="270"/>
    </row>
    <row r="33" spans="1:47" ht="24.75" customHeight="1" thickBot="1" x14ac:dyDescent="0.4">
      <c r="K33" s="132"/>
      <c r="M33" s="38"/>
      <c r="N33" s="23" t="s">
        <v>244</v>
      </c>
      <c r="O33" s="313">
        <f>'Reference Prices'!D44</f>
        <v>4</v>
      </c>
      <c r="P33" s="137" t="s">
        <v>210</v>
      </c>
      <c r="Q33" s="308">
        <f>'Reference Prices'!F44</f>
        <v>6200</v>
      </c>
      <c r="R33" s="149">
        <f>Q33*O33</f>
        <v>24800</v>
      </c>
      <c r="S33" s="137" t="s">
        <v>208</v>
      </c>
      <c r="T33" s="150"/>
      <c r="U33" s="150"/>
      <c r="V33" s="150"/>
      <c r="W33" s="150"/>
      <c r="X33" s="150"/>
      <c r="Y33" s="150"/>
      <c r="Z33" s="150"/>
      <c r="AA33" s="150"/>
      <c r="AB33" s="150"/>
      <c r="AC33" s="142"/>
      <c r="AD33" s="156"/>
      <c r="AG33" s="156"/>
      <c r="AL33" s="142"/>
      <c r="AM33" s="142"/>
      <c r="AN33" s="156"/>
      <c r="AP33" s="156"/>
      <c r="AQ33" s="156"/>
      <c r="AR33" s="156"/>
      <c r="AS33" s="156"/>
      <c r="AT33" s="156"/>
      <c r="AU33" s="156"/>
    </row>
    <row r="34" spans="1:47" ht="24.75" customHeight="1" thickBot="1" x14ac:dyDescent="0.4">
      <c r="K34" s="132"/>
      <c r="M34" s="38"/>
      <c r="N34" s="23" t="s">
        <v>590</v>
      </c>
      <c r="O34" s="313">
        <f>'Reference Prices'!D45</f>
        <v>110.00000000000001</v>
      </c>
      <c r="P34" s="137" t="s">
        <v>210</v>
      </c>
      <c r="Q34" s="307">
        <f>'Reference Prices'!F45</f>
        <v>760</v>
      </c>
      <c r="R34" s="149">
        <f>Q34*O34</f>
        <v>83600.000000000015</v>
      </c>
      <c r="S34" s="137" t="s">
        <v>208</v>
      </c>
      <c r="T34" s="150"/>
      <c r="U34" s="150"/>
      <c r="V34" s="150"/>
      <c r="W34" s="150"/>
      <c r="X34" s="150"/>
      <c r="Y34" s="150"/>
      <c r="Z34" s="150"/>
      <c r="AA34" s="150"/>
      <c r="AB34" s="150"/>
      <c r="AC34" s="142"/>
      <c r="AD34" s="156"/>
      <c r="AG34" s="156"/>
      <c r="AL34" s="142"/>
      <c r="AM34" s="142"/>
      <c r="AN34" s="156"/>
      <c r="AP34" s="156"/>
      <c r="AQ34" s="156"/>
      <c r="AR34" s="156"/>
      <c r="AS34" s="156"/>
      <c r="AT34" s="156"/>
      <c r="AU34" s="156"/>
    </row>
    <row r="35" spans="1:47" ht="24.75" customHeight="1" thickBot="1" x14ac:dyDescent="0.4">
      <c r="K35" s="132"/>
      <c r="M35" s="38"/>
      <c r="N35" s="23" t="s">
        <v>245</v>
      </c>
      <c r="O35" s="313">
        <f>O32</f>
        <v>23</v>
      </c>
      <c r="P35" s="137" t="s">
        <v>210</v>
      </c>
      <c r="Q35" s="307">
        <f>'Reference Prices'!F46</f>
        <v>1100</v>
      </c>
      <c r="R35" s="149">
        <f>Q35*O35</f>
        <v>25300</v>
      </c>
      <c r="S35" s="137" t="s">
        <v>208</v>
      </c>
      <c r="U35" s="150"/>
      <c r="V35" s="142"/>
      <c r="X35" s="142"/>
      <c r="Y35" s="142"/>
      <c r="Z35" s="142"/>
      <c r="AA35" s="142"/>
      <c r="AB35" s="142"/>
      <c r="AC35" s="142"/>
      <c r="AD35" s="156"/>
      <c r="AG35" s="156"/>
      <c r="AL35" s="142"/>
      <c r="AM35" s="142"/>
      <c r="AN35" s="101"/>
      <c r="AO35" s="132"/>
      <c r="AP35" s="101"/>
      <c r="AQ35" s="157"/>
      <c r="AR35" s="269"/>
      <c r="AS35" s="101"/>
      <c r="AT35" s="101"/>
      <c r="AU35" s="101"/>
    </row>
    <row r="36" spans="1:47" ht="24.75" customHeight="1" thickBot="1" x14ac:dyDescent="0.4">
      <c r="F36" s="150"/>
      <c r="G36" s="150"/>
      <c r="H36" s="150"/>
      <c r="I36" s="150"/>
      <c r="J36" s="150"/>
      <c r="M36" s="38"/>
      <c r="N36" s="23" t="s">
        <v>246</v>
      </c>
      <c r="O36" s="313">
        <f>O33</f>
        <v>4</v>
      </c>
      <c r="P36" s="137" t="s">
        <v>210</v>
      </c>
      <c r="Q36" s="308">
        <f>'Reference Prices'!F47</f>
        <v>3122.2222222222222</v>
      </c>
      <c r="R36" s="149">
        <f>Q36*O36</f>
        <v>12488.888888888889</v>
      </c>
      <c r="S36" s="137" t="s">
        <v>208</v>
      </c>
      <c r="U36" s="150"/>
      <c r="V36" s="142"/>
      <c r="X36" s="142"/>
      <c r="Y36" s="142"/>
      <c r="Z36" s="142"/>
      <c r="AA36" s="142"/>
      <c r="AB36" s="142"/>
      <c r="AC36" s="151"/>
      <c r="AD36" s="156"/>
      <c r="AG36" s="156"/>
      <c r="AH36" s="101"/>
      <c r="AI36" s="101"/>
      <c r="AJ36" s="101"/>
      <c r="AL36" s="142"/>
      <c r="AM36" s="142"/>
      <c r="AN36" s="101"/>
      <c r="AO36" s="132"/>
      <c r="AP36" s="101"/>
      <c r="AQ36" s="156"/>
      <c r="AR36" s="156"/>
      <c r="AS36" s="156"/>
      <c r="AT36" s="156"/>
      <c r="AU36" s="101"/>
    </row>
    <row r="37" spans="1:47" ht="24.75" customHeight="1" thickBot="1" x14ac:dyDescent="0.4">
      <c r="F37" s="150"/>
      <c r="G37" s="150"/>
      <c r="H37" s="150"/>
      <c r="I37" s="150"/>
      <c r="J37" s="150"/>
      <c r="K37" s="147"/>
      <c r="M37" s="38"/>
      <c r="N37" s="23" t="s">
        <v>247</v>
      </c>
      <c r="O37" s="309">
        <v>1</v>
      </c>
      <c r="P37" s="137" t="s">
        <v>248</v>
      </c>
      <c r="Q37" s="308">
        <f>'Reference Prices'!I12+SUM('Reference Prices'!I14:I27)+'Reference Prices'!I31+'Reference Prices'!I32</f>
        <v>4928718.75</v>
      </c>
      <c r="R37" s="149">
        <f>Q37*O37</f>
        <v>4928718.75</v>
      </c>
      <c r="S37" s="137" t="s">
        <v>208</v>
      </c>
      <c r="V37" s="147"/>
      <c r="W37" s="147"/>
      <c r="X37" s="147"/>
      <c r="Y37" s="147"/>
      <c r="Z37" s="147"/>
      <c r="AA37" s="147"/>
      <c r="AB37" s="147"/>
      <c r="AC37" s="142"/>
      <c r="AD37" s="156"/>
      <c r="AG37" s="101"/>
      <c r="AH37" s="101"/>
      <c r="AI37" s="101"/>
      <c r="AJ37" s="101"/>
      <c r="AL37" s="142"/>
      <c r="AM37" s="142"/>
      <c r="AN37" s="156"/>
      <c r="AP37" s="156"/>
      <c r="AQ37" s="156"/>
      <c r="AR37" s="156"/>
      <c r="AS37" s="156"/>
      <c r="AT37" s="156"/>
      <c r="AU37" s="156"/>
    </row>
    <row r="38" spans="1:47" ht="24.75" customHeight="1" thickBot="1" x14ac:dyDescent="0.4">
      <c r="K38" s="132"/>
      <c r="M38" s="38"/>
      <c r="N38" s="38" t="s">
        <v>249</v>
      </c>
      <c r="O38" s="448">
        <f>'Reference Prices'!I53</f>
        <v>39400349.22378011</v>
      </c>
      <c r="P38" s="449"/>
      <c r="Q38" s="205"/>
      <c r="R38" s="206"/>
      <c r="S38" s="157"/>
      <c r="V38" s="132"/>
      <c r="W38" s="132"/>
      <c r="X38" s="132"/>
      <c r="Y38" s="132"/>
      <c r="Z38" s="132"/>
      <c r="AA38" s="132"/>
      <c r="AB38" s="132"/>
      <c r="AC38" s="142"/>
      <c r="AD38" s="156"/>
      <c r="AG38" s="156"/>
      <c r="AL38" s="142"/>
      <c r="AM38" s="142"/>
      <c r="AN38" s="156"/>
      <c r="AP38" s="156"/>
      <c r="AQ38" s="156"/>
      <c r="AR38" s="156"/>
      <c r="AS38" s="156"/>
      <c r="AT38" s="156"/>
      <c r="AU38" s="156"/>
    </row>
    <row r="39" spans="1:47" ht="24.75" customHeight="1" thickBot="1" x14ac:dyDescent="0.4">
      <c r="K39" s="132"/>
      <c r="Q39" s="205"/>
      <c r="R39" s="206"/>
      <c r="S39" s="157"/>
      <c r="T39" s="147"/>
      <c r="U39" s="147"/>
      <c r="AC39" s="142"/>
      <c r="AD39" s="156"/>
      <c r="AG39" s="156"/>
      <c r="AL39" s="142"/>
      <c r="AM39" s="142"/>
      <c r="AN39" s="156"/>
      <c r="AP39" s="156"/>
      <c r="AQ39" s="156"/>
      <c r="AR39" s="156"/>
      <c r="AS39" s="156"/>
      <c r="AT39" s="156"/>
      <c r="AU39" s="156"/>
    </row>
    <row r="40" spans="1:47" thickBot="1" x14ac:dyDescent="0.4">
      <c r="M40" s="154"/>
      <c r="N40" s="101"/>
      <c r="O40" s="150"/>
      <c r="P40" s="150"/>
      <c r="Q40" s="150"/>
      <c r="R40" s="150"/>
      <c r="S40" s="150"/>
      <c r="T40" s="132"/>
      <c r="U40" s="132"/>
      <c r="V40" s="142"/>
      <c r="X40" s="142"/>
      <c r="Y40" s="142"/>
      <c r="Z40" s="142"/>
      <c r="AA40" s="142"/>
      <c r="AC40" s="142"/>
      <c r="AD40" s="156"/>
      <c r="AG40" s="156"/>
      <c r="AL40" s="142"/>
      <c r="AM40" s="142"/>
      <c r="AN40" s="156"/>
      <c r="AP40" s="156"/>
      <c r="AQ40" s="156"/>
      <c r="AR40" s="156"/>
      <c r="AS40" s="156"/>
      <c r="AT40" s="156"/>
      <c r="AU40" s="156"/>
    </row>
    <row r="41" spans="1:47" thickBot="1" x14ac:dyDescent="0.4">
      <c r="A41" s="101"/>
      <c r="B41" s="444"/>
      <c r="C41" s="445"/>
      <c r="D41" s="445"/>
      <c r="E41" s="445"/>
      <c r="F41" s="445"/>
      <c r="G41" s="445"/>
      <c r="H41" s="445"/>
      <c r="I41" s="445"/>
      <c r="J41" s="446"/>
      <c r="K41" s="132"/>
      <c r="M41" s="444"/>
      <c r="N41" s="445"/>
      <c r="O41" s="445"/>
      <c r="P41" s="445"/>
      <c r="Q41" s="445"/>
      <c r="R41" s="445"/>
      <c r="S41" s="155"/>
      <c r="T41" s="132"/>
      <c r="U41" s="264"/>
      <c r="V41" s="262"/>
      <c r="W41" s="262"/>
      <c r="X41" s="262"/>
      <c r="Y41" s="262"/>
      <c r="Z41" s="262"/>
      <c r="AA41" s="262"/>
      <c r="AB41" s="262"/>
      <c r="AC41" s="263"/>
      <c r="AD41" s="271"/>
      <c r="AF41" s="437"/>
      <c r="AG41" s="438"/>
      <c r="AH41" s="438"/>
      <c r="AI41" s="438"/>
      <c r="AJ41" s="438"/>
      <c r="AK41" s="438"/>
      <c r="AL41" s="438"/>
      <c r="AM41" s="438"/>
    </row>
    <row r="42" spans="1:47" thickBot="1" x14ac:dyDescent="0.4">
      <c r="J42" s="163" t="s">
        <v>563</v>
      </c>
      <c r="M42" s="154"/>
      <c r="N42" s="101"/>
      <c r="O42" s="150"/>
      <c r="P42" s="150"/>
      <c r="Q42" s="150"/>
      <c r="R42" s="150"/>
      <c r="S42" s="163" t="s">
        <v>250</v>
      </c>
      <c r="AB42" s="163" t="s">
        <v>251</v>
      </c>
      <c r="AC42" s="163"/>
      <c r="AM42" s="163" t="s">
        <v>252</v>
      </c>
    </row>
    <row r="43" spans="1:47" thickBot="1" x14ac:dyDescent="0.4">
      <c r="M43" s="154"/>
      <c r="N43" s="101"/>
      <c r="O43" s="150"/>
      <c r="P43" s="150"/>
      <c r="Q43" s="150"/>
      <c r="R43" s="150"/>
      <c r="S43" s="150"/>
    </row>
    <row r="44" spans="1:47" thickBot="1" x14ac:dyDescent="0.4">
      <c r="P44" s="385">
        <f>O38-'Reference Prices'!I53</f>
        <v>0</v>
      </c>
      <c r="Q44" s="132"/>
      <c r="R44" s="132"/>
      <c r="S44" s="132"/>
      <c r="T44" s="132"/>
      <c r="U44" s="132"/>
    </row>
    <row r="45" spans="1:47" thickBot="1" x14ac:dyDescent="0.4">
      <c r="P45" s="132"/>
      <c r="Q45" s="132"/>
      <c r="R45" s="132"/>
      <c r="S45" s="132"/>
      <c r="T45" s="132"/>
      <c r="U45" s="132"/>
    </row>
    <row r="47" spans="1:47" ht="30" customHeight="1" thickBot="1" x14ac:dyDescent="0.4"/>
    <row r="48" spans="1:47" ht="30.75" customHeight="1" thickBot="1" x14ac:dyDescent="0.4"/>
    <row r="50" ht="28.5" customHeight="1" thickBot="1" x14ac:dyDescent="0.4"/>
    <row r="51" ht="28.5" customHeight="1" thickBot="1" x14ac:dyDescent="0.4"/>
  </sheetData>
  <sheetProtection algorithmName="SHA-512" hashValue="7lQ2MlvePHDMDqJTgXTX0pdrur03cXlt450ZogymBtYHGeorhZew9cs6/Kl4BnNJ/HeH/g71JO8vbHoE+v9Jdw==" saltValue="XZk6K7FttEWUdYyY++Z+GQ==" spinCount="100000" sheet="1" formatCells="0"/>
  <mergeCells count="16">
    <mergeCell ref="N5:R5"/>
    <mergeCell ref="AN3:AU3"/>
    <mergeCell ref="AD3:AK3"/>
    <mergeCell ref="D7:I7"/>
    <mergeCell ref="M3:S3"/>
    <mergeCell ref="V3:AB3"/>
    <mergeCell ref="AE7:AK7"/>
    <mergeCell ref="AO7:AU7"/>
    <mergeCell ref="B3:J3"/>
    <mergeCell ref="AF41:AM41"/>
    <mergeCell ref="D8:I8"/>
    <mergeCell ref="AS30:AT30"/>
    <mergeCell ref="B41:J41"/>
    <mergeCell ref="M41:R41"/>
    <mergeCell ref="AP30:AR30"/>
    <mergeCell ref="O38:P38"/>
  </mergeCells>
  <pageMargins left="0.7" right="0.7" top="0.75" bottom="0.75" header="0.3" footer="0.3"/>
  <pageSetup scale="63" fitToWidth="0" fitToHeight="0" orientation="portrait" r:id="rId1"/>
  <headerFooter>
    <oddHeader>&amp;C&amp;KFF0000[LOGO]</oddHeader>
  </headerFooter>
  <colBreaks count="3" manualBreakCount="3">
    <brk id="11" max="1048575" man="1"/>
    <brk id="20" max="40" man="1"/>
    <brk id="30" max="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FEE0-65F7-4A1F-9506-8572E3D66DFF}">
  <sheetPr codeName="Sheet5">
    <tabColor theme="1" tint="0.34998626667073579"/>
  </sheetPr>
  <dimension ref="B1:AF101"/>
  <sheetViews>
    <sheetView showGridLines="0" topLeftCell="A51" zoomScale="90" zoomScaleNormal="90" workbookViewId="0">
      <selection activeCell="A3" sqref="A3"/>
    </sheetView>
  </sheetViews>
  <sheetFormatPr defaultColWidth="8.453125" defaultRowHeight="14.5" x14ac:dyDescent="0.35"/>
  <cols>
    <col min="1" max="1" width="3.453125" customWidth="1"/>
    <col min="2" max="2" width="4.453125" customWidth="1"/>
    <col min="3" max="3" width="31.453125" customWidth="1"/>
    <col min="4" max="4" width="13.1796875" customWidth="1"/>
    <col min="5" max="5" width="8.453125" customWidth="1"/>
    <col min="6" max="6" width="48.36328125" customWidth="1"/>
    <col min="7" max="7" width="13.1796875" customWidth="1"/>
    <col min="8" max="8" width="13.1796875" style="164" customWidth="1"/>
    <col min="9" max="11" width="13.1796875" customWidth="1"/>
    <col min="12" max="12" width="8.453125" customWidth="1"/>
    <col min="13" max="15" width="13.1796875" customWidth="1"/>
  </cols>
  <sheetData>
    <row r="1" spans="2:16" ht="25" customHeight="1" x14ac:dyDescent="0.35"/>
    <row r="2" spans="2:16" ht="35" customHeight="1" x14ac:dyDescent="0.35">
      <c r="B2" s="461" t="s">
        <v>570</v>
      </c>
      <c r="C2" s="461"/>
      <c r="D2" s="461"/>
      <c r="E2" s="461"/>
      <c r="F2" s="461"/>
      <c r="G2" s="351"/>
    </row>
    <row r="3" spans="2:16" ht="25" customHeight="1" x14ac:dyDescent="0.35"/>
    <row r="4" spans="2:16" ht="25" customHeight="1" thickBot="1" x14ac:dyDescent="0.4">
      <c r="B4" s="72"/>
      <c r="C4" s="465" t="s">
        <v>253</v>
      </c>
      <c r="D4" s="466"/>
      <c r="F4" s="341" t="s">
        <v>569</v>
      </c>
      <c r="G4" s="350"/>
      <c r="H4" s="349"/>
    </row>
    <row r="5" spans="2:16" ht="15" thickBot="1" x14ac:dyDescent="0.4">
      <c r="B5" s="23"/>
      <c r="C5" s="334" t="s">
        <v>254</v>
      </c>
      <c r="D5" s="326">
        <f>'2. Inputs'!F48</f>
        <v>30</v>
      </c>
      <c r="E5" s="28"/>
      <c r="F5" s="334"/>
      <c r="G5" s="467"/>
      <c r="H5" s="468"/>
    </row>
    <row r="6" spans="2:16" ht="15" thickBot="1" x14ac:dyDescent="0.4">
      <c r="B6" s="23"/>
      <c r="C6" s="334" t="s">
        <v>255</v>
      </c>
      <c r="D6" s="326">
        <f>'2. Inputs'!H48</f>
        <v>30</v>
      </c>
      <c r="F6" s="334"/>
      <c r="G6" s="467"/>
      <c r="H6" s="468"/>
    </row>
    <row r="7" spans="2:16" ht="15" thickBot="1" x14ac:dyDescent="0.4">
      <c r="B7" s="23"/>
      <c r="C7" s="334" t="s">
        <v>256</v>
      </c>
      <c r="D7" s="326">
        <f>'2. Inputs'!F60</f>
        <v>19.14</v>
      </c>
      <c r="E7" s="29"/>
      <c r="F7" s="334"/>
      <c r="G7" s="467"/>
      <c r="H7" s="468"/>
      <c r="I7" s="8"/>
      <c r="J7" s="8"/>
    </row>
    <row r="8" spans="2:16" ht="15" thickBot="1" x14ac:dyDescent="0.4">
      <c r="B8" s="23"/>
      <c r="C8" s="334" t="s">
        <v>257</v>
      </c>
      <c r="D8" s="326">
        <f>'2. Inputs'!H60</f>
        <v>33.42</v>
      </c>
      <c r="F8" s="334"/>
      <c r="G8" s="467"/>
      <c r="H8" s="468"/>
    </row>
    <row r="9" spans="2:16" ht="15" thickBot="1" x14ac:dyDescent="0.4">
      <c r="B9" s="23"/>
      <c r="C9" s="334" t="s">
        <v>258</v>
      </c>
      <c r="D9" s="326">
        <f>'2. Inputs'!F70</f>
        <v>5.7540899999999997</v>
      </c>
      <c r="F9" s="334"/>
      <c r="G9" s="467"/>
      <c r="H9" s="468"/>
    </row>
    <row r="10" spans="2:16" ht="15" thickBot="1" x14ac:dyDescent="0.4">
      <c r="B10" s="23"/>
      <c r="C10" s="334" t="s">
        <v>259</v>
      </c>
      <c r="D10" s="326">
        <f>'2. Inputs'!H70</f>
        <v>63.024540000000002</v>
      </c>
      <c r="F10" s="334"/>
      <c r="G10" s="467"/>
      <c r="H10" s="468"/>
    </row>
    <row r="11" spans="2:16" ht="15" thickBot="1" x14ac:dyDescent="0.4">
      <c r="B11" s="23"/>
      <c r="C11" s="334" t="s">
        <v>260</v>
      </c>
      <c r="D11" s="326">
        <f>IF('2. Inputs'!D31 = "YES", '2. Inputs'!D32, '2. Inputs'!F72)</f>
        <v>54.894089999999998</v>
      </c>
      <c r="F11" s="334"/>
      <c r="G11" s="467"/>
      <c r="H11" s="468"/>
    </row>
    <row r="12" spans="2:16" ht="15" thickBot="1" x14ac:dyDescent="0.4">
      <c r="B12" s="25"/>
      <c r="C12" s="334" t="s">
        <v>261</v>
      </c>
      <c r="D12" s="326">
        <f>IF('2. Inputs'!D31 = "YES", '2. Inputs'!D33, '2. Inputs'!H72)</f>
        <v>126.44454</v>
      </c>
      <c r="F12" s="334"/>
      <c r="G12" s="467"/>
      <c r="H12" s="468"/>
      <c r="P12" s="5"/>
    </row>
    <row r="13" spans="2:16" ht="15" thickBot="1" x14ac:dyDescent="0.4">
      <c r="B13" s="23"/>
      <c r="C13" s="334" t="s">
        <v>262</v>
      </c>
      <c r="D13" s="326">
        <f>(SUM('2. Inputs'!O89:R89)+SUM('2. Inputs'!N90:R90)+SUM('2. Inputs'!M91:R91)+SUM('2. Inputs'!N92:R92)+SUM('2. Inputs'!N94:R94)+SUM('2. Inputs'!N96:R96))/1000</f>
        <v>56.920449999999995</v>
      </c>
      <c r="F13" s="334"/>
      <c r="G13" s="467"/>
      <c r="H13" s="468"/>
      <c r="P13" s="5"/>
    </row>
    <row r="14" spans="2:16" ht="15" thickBot="1" x14ac:dyDescent="0.4">
      <c r="B14" s="23"/>
      <c r="C14" s="334" t="s">
        <v>263</v>
      </c>
      <c r="D14" s="326">
        <f>D12-D13</f>
        <v>69.524090000000001</v>
      </c>
      <c r="F14" s="334"/>
      <c r="G14" s="467"/>
      <c r="H14" s="468"/>
      <c r="P14" s="5"/>
    </row>
    <row r="15" spans="2:16" ht="15" thickBot="1" x14ac:dyDescent="0.4">
      <c r="C15" s="292"/>
      <c r="D15" s="324"/>
      <c r="H15"/>
    </row>
    <row r="16" spans="2:16" ht="15" thickBot="1" x14ac:dyDescent="0.4">
      <c r="B16" s="45"/>
      <c r="C16" s="335" t="s">
        <v>264</v>
      </c>
      <c r="D16" s="325">
        <v>415</v>
      </c>
      <c r="F16" s="334"/>
      <c r="G16" s="467"/>
      <c r="H16" s="468"/>
    </row>
    <row r="17" spans="2:10" s="4" customFormat="1" ht="15" hidden="1" customHeight="1" thickBot="1" x14ac:dyDescent="0.4">
      <c r="B17" s="23"/>
      <c r="C17" s="336" t="s">
        <v>265</v>
      </c>
      <c r="D17" s="354">
        <v>17.59</v>
      </c>
      <c r="F17" s="334"/>
      <c r="G17" s="467"/>
      <c r="H17" s="468"/>
    </row>
    <row r="18" spans="2:10" s="4" customFormat="1" ht="15" hidden="1" customHeight="1" thickBot="1" x14ac:dyDescent="0.4">
      <c r="B18" s="23"/>
      <c r="C18" s="336" t="s">
        <v>266</v>
      </c>
      <c r="D18" s="354">
        <v>47</v>
      </c>
      <c r="F18" s="334"/>
      <c r="G18" s="467"/>
      <c r="H18" s="468"/>
    </row>
    <row r="19" spans="2:10" s="4" customFormat="1" ht="15" hidden="1" customHeight="1" thickBot="1" x14ac:dyDescent="0.4">
      <c r="B19" s="23"/>
      <c r="C19" s="336" t="s">
        <v>267</v>
      </c>
      <c r="D19" s="354">
        <v>2.8999999999999998E-3</v>
      </c>
      <c r="F19" s="334"/>
      <c r="G19" s="467"/>
      <c r="H19" s="468"/>
    </row>
    <row r="20" spans="2:10" s="4" customFormat="1" ht="15" hidden="1" customHeight="1" thickBot="1" x14ac:dyDescent="0.4">
      <c r="B20" s="23"/>
      <c r="C20" s="336" t="s">
        <v>268</v>
      </c>
      <c r="D20" s="354">
        <v>4.8000000000000001E-4</v>
      </c>
      <c r="F20" s="334"/>
      <c r="G20" s="467"/>
      <c r="H20" s="468"/>
    </row>
    <row r="21" spans="2:10" s="4" customFormat="1" ht="15" hidden="1" customHeight="1" thickBot="1" x14ac:dyDescent="0.4">
      <c r="B21" s="23"/>
      <c r="C21" s="336" t="s">
        <v>269</v>
      </c>
      <c r="D21" s="354">
        <v>3.8999999999999998E-3</v>
      </c>
      <c r="F21" s="334"/>
      <c r="G21" s="467"/>
      <c r="H21" s="468"/>
    </row>
    <row r="22" spans="2:10" s="4" customFormat="1" ht="15" hidden="1" customHeight="1" thickBot="1" x14ac:dyDescent="0.4">
      <c r="B22" s="23"/>
      <c r="C22" s="336" t="s">
        <v>270</v>
      </c>
      <c r="D22" s="354" t="s">
        <v>271</v>
      </c>
      <c r="F22" s="334"/>
      <c r="G22" s="467"/>
      <c r="H22" s="468"/>
    </row>
    <row r="23" spans="2:10" ht="15" thickBot="1" x14ac:dyDescent="0.4">
      <c r="B23" s="23"/>
      <c r="C23" s="337" t="s">
        <v>272</v>
      </c>
      <c r="D23" s="325">
        <v>4.5</v>
      </c>
      <c r="F23" s="334"/>
      <c r="G23" s="467"/>
      <c r="H23" s="468"/>
    </row>
    <row r="24" spans="2:10" ht="15" thickBot="1" x14ac:dyDescent="0.4">
      <c r="B24" s="25"/>
      <c r="C24" s="337" t="s">
        <v>273</v>
      </c>
      <c r="D24" s="323">
        <f>ROUNDUP((D12)/(0.7*D23),0)</f>
        <v>41</v>
      </c>
      <c r="E24" s="30"/>
      <c r="F24" s="334"/>
      <c r="G24" s="467"/>
      <c r="H24" s="468"/>
      <c r="I24" s="5"/>
      <c r="J24" s="5"/>
    </row>
    <row r="25" spans="2:10" x14ac:dyDescent="0.35">
      <c r="H25"/>
    </row>
    <row r="26" spans="2:10" ht="25" customHeight="1" thickBot="1" x14ac:dyDescent="0.4">
      <c r="B26" s="72"/>
      <c r="C26" s="465" t="s">
        <v>274</v>
      </c>
      <c r="D26" s="466"/>
      <c r="H26"/>
    </row>
    <row r="27" spans="2:10" ht="15" thickBot="1" x14ac:dyDescent="0.4">
      <c r="B27" s="23"/>
      <c r="C27" s="272" t="s">
        <v>275</v>
      </c>
      <c r="D27" s="304">
        <f>ROUNDUP(D24,0)</f>
        <v>41</v>
      </c>
      <c r="F27" s="334"/>
      <c r="G27" s="467"/>
      <c r="H27" s="468"/>
    </row>
    <row r="28" spans="2:10" ht="22.5" customHeight="1" thickBot="1" x14ac:dyDescent="0.4">
      <c r="B28" s="23"/>
      <c r="C28" s="272" t="s">
        <v>276</v>
      </c>
      <c r="D28" s="304">
        <f>'Backend Values'!D44</f>
        <v>40</v>
      </c>
      <c r="E28" s="6"/>
      <c r="F28" s="334"/>
      <c r="G28" s="467"/>
      <c r="H28" s="468"/>
    </row>
    <row r="29" spans="2:10" ht="15" thickBot="1" x14ac:dyDescent="0.4">
      <c r="B29" s="23"/>
      <c r="C29" s="272" t="s">
        <v>277</v>
      </c>
      <c r="D29" s="304">
        <f>'Backend Values'!D43</f>
        <v>20</v>
      </c>
      <c r="F29" s="334"/>
      <c r="G29" s="467"/>
      <c r="H29" s="468"/>
    </row>
    <row r="30" spans="2:10" ht="15" thickBot="1" x14ac:dyDescent="0.4">
      <c r="B30" s="25"/>
      <c r="C30" s="337" t="s">
        <v>278</v>
      </c>
      <c r="D30" s="323">
        <f>'Backend Values'!D42</f>
        <v>2</v>
      </c>
      <c r="F30" s="334"/>
      <c r="G30" s="467"/>
      <c r="H30" s="468"/>
    </row>
    <row r="31" spans="2:10" x14ac:dyDescent="0.35">
      <c r="H31"/>
    </row>
    <row r="32" spans="2:10" ht="25" customHeight="1" thickBot="1" x14ac:dyDescent="0.4">
      <c r="B32" s="72"/>
      <c r="C32" s="465" t="s">
        <v>279</v>
      </c>
      <c r="D32" s="466"/>
      <c r="H32"/>
    </row>
    <row r="33" spans="2:8" ht="15" thickBot="1" x14ac:dyDescent="0.4">
      <c r="B33" s="23"/>
      <c r="C33" s="272" t="s">
        <v>280</v>
      </c>
      <c r="D33" s="372" t="s">
        <v>281</v>
      </c>
      <c r="F33" s="334"/>
      <c r="G33" s="467"/>
      <c r="H33" s="468"/>
    </row>
    <row r="34" spans="2:8" ht="15" thickBot="1" x14ac:dyDescent="0.4">
      <c r="B34" s="23"/>
      <c r="C34" s="272" t="s">
        <v>282</v>
      </c>
      <c r="D34" s="303">
        <f>D14*1000</f>
        <v>69524.09</v>
      </c>
      <c r="F34" s="334"/>
      <c r="G34" s="467"/>
      <c r="H34" s="468"/>
    </row>
    <row r="35" spans="2:8" ht="15" thickBot="1" x14ac:dyDescent="0.4">
      <c r="B35" s="23"/>
      <c r="C35" s="272" t="s">
        <v>283</v>
      </c>
      <c r="D35" s="372">
        <v>1</v>
      </c>
      <c r="F35" s="334"/>
      <c r="G35" s="467"/>
      <c r="H35" s="468"/>
    </row>
    <row r="36" spans="2:8" ht="15" thickBot="1" x14ac:dyDescent="0.4">
      <c r="B36" s="23"/>
      <c r="C36" s="272" t="s">
        <v>284</v>
      </c>
      <c r="D36" s="304" t="str">
        <f>IF(D33="VRLA", "0.8","0.9")</f>
        <v>0.8</v>
      </c>
      <c r="F36" s="334"/>
      <c r="G36" s="467"/>
      <c r="H36" s="468"/>
    </row>
    <row r="37" spans="2:8" ht="15" thickBot="1" x14ac:dyDescent="0.4">
      <c r="B37" s="23"/>
      <c r="C37" s="272" t="s">
        <v>285</v>
      </c>
      <c r="D37" s="304" t="str">
        <f>IF(D33="VRLA", "0.8","0.9")</f>
        <v>0.8</v>
      </c>
      <c r="F37" s="334"/>
      <c r="G37" s="467"/>
      <c r="H37" s="468"/>
    </row>
    <row r="38" spans="2:8" ht="15" thickBot="1" x14ac:dyDescent="0.4">
      <c r="B38" s="23"/>
      <c r="C38" s="272" t="s">
        <v>286</v>
      </c>
      <c r="D38" s="304">
        <f>ROUNDUP(($D$34*$D$35)/($D$39*$D$36*$D$37), 0)</f>
        <v>2264</v>
      </c>
      <c r="F38" s="334"/>
      <c r="G38" s="467"/>
      <c r="H38" s="468"/>
    </row>
    <row r="39" spans="2:8" ht="15" thickBot="1" x14ac:dyDescent="0.4">
      <c r="B39" s="25"/>
      <c r="C39" s="337" t="s">
        <v>287</v>
      </c>
      <c r="D39" s="371">
        <v>48</v>
      </c>
      <c r="F39" s="334"/>
      <c r="G39" s="467"/>
      <c r="H39" s="468"/>
    </row>
    <row r="40" spans="2:8" ht="26.5" thickBot="1" x14ac:dyDescent="0.4">
      <c r="B40" s="25"/>
      <c r="C40" s="272" t="s">
        <v>223</v>
      </c>
      <c r="D40" s="304">
        <f>ROUNDUP(D39*D38/1000,0)</f>
        <v>109</v>
      </c>
      <c r="F40" s="334"/>
      <c r="H40"/>
    </row>
    <row r="41" spans="2:8" x14ac:dyDescent="0.35">
      <c r="H41"/>
    </row>
    <row r="42" spans="2:8" ht="25" customHeight="1" thickBot="1" x14ac:dyDescent="0.4">
      <c r="B42" s="72"/>
      <c r="C42" s="465" t="s">
        <v>288</v>
      </c>
      <c r="D42" s="466"/>
      <c r="H42"/>
    </row>
    <row r="43" spans="2:8" ht="15" thickBot="1" x14ac:dyDescent="0.4">
      <c r="B43" s="23"/>
      <c r="C43" s="272" t="s">
        <v>289</v>
      </c>
      <c r="D43" s="303">
        <f>'2. Inputs'!F72*1000</f>
        <v>54894.09</v>
      </c>
      <c r="F43" s="334"/>
      <c r="G43" s="467"/>
      <c r="H43" s="468"/>
    </row>
    <row r="44" spans="2:8" ht="15" thickBot="1" x14ac:dyDescent="0.4">
      <c r="B44" s="23"/>
      <c r="C44" s="272" t="s">
        <v>290</v>
      </c>
      <c r="D44" s="303">
        <f>D39</f>
        <v>48</v>
      </c>
      <c r="F44" s="334"/>
      <c r="G44" s="467"/>
      <c r="H44" s="468"/>
    </row>
    <row r="45" spans="2:8" ht="15" thickBot="1" x14ac:dyDescent="0.4">
      <c r="B45" s="23"/>
      <c r="C45" s="272" t="s">
        <v>291</v>
      </c>
      <c r="D45" s="303">
        <f>'Backend Values'!D53*1000</f>
        <v>6000</v>
      </c>
      <c r="F45" s="334"/>
      <c r="G45" s="467"/>
      <c r="H45" s="468"/>
    </row>
    <row r="46" spans="2:8" ht="26.5" thickBot="1" x14ac:dyDescent="0.4">
      <c r="B46" s="23"/>
      <c r="C46" s="272" t="s">
        <v>292</v>
      </c>
      <c r="D46" s="303">
        <f>'Backend Values'!D52</f>
        <v>9</v>
      </c>
      <c r="E46" s="30"/>
      <c r="F46" s="334"/>
      <c r="G46" s="467"/>
      <c r="H46" s="468"/>
    </row>
    <row r="47" spans="2:8" ht="15" thickBot="1" x14ac:dyDescent="0.4">
      <c r="B47" s="23"/>
      <c r="C47" s="272" t="s">
        <v>293</v>
      </c>
      <c r="D47" s="303">
        <f>'Backend Values'!D54</f>
        <v>54</v>
      </c>
      <c r="F47" s="334"/>
      <c r="G47" s="467"/>
      <c r="H47" s="468"/>
    </row>
    <row r="48" spans="2:8" ht="15" thickBot="1" x14ac:dyDescent="0.4">
      <c r="B48" s="23"/>
      <c r="C48" s="23"/>
      <c r="D48" s="303"/>
      <c r="F48" s="334"/>
      <c r="H48"/>
    </row>
    <row r="49" spans="2:8" ht="25" customHeight="1" thickBot="1" x14ac:dyDescent="0.4">
      <c r="B49" s="72"/>
      <c r="C49" s="465" t="s">
        <v>294</v>
      </c>
      <c r="D49" s="466"/>
      <c r="H49"/>
    </row>
    <row r="50" spans="2:8" ht="15" thickBot="1" x14ac:dyDescent="0.4">
      <c r="B50" s="23"/>
      <c r="C50" s="272" t="s">
        <v>295</v>
      </c>
      <c r="D50" s="327">
        <f>'Backend Values'!J24</f>
        <v>2</v>
      </c>
      <c r="F50" s="334"/>
      <c r="G50" s="467"/>
      <c r="H50" s="468"/>
    </row>
    <row r="51" spans="2:8" ht="15" thickBot="1" x14ac:dyDescent="0.4">
      <c r="B51" s="23"/>
      <c r="C51" s="272" t="s">
        <v>296</v>
      </c>
      <c r="D51" s="327">
        <f>'Backend Values'!J25</f>
        <v>5</v>
      </c>
      <c r="F51" s="334"/>
      <c r="G51" s="467"/>
      <c r="H51" s="468"/>
    </row>
    <row r="52" spans="2:8" x14ac:dyDescent="0.35">
      <c r="H52"/>
    </row>
    <row r="53" spans="2:8" ht="25" customHeight="1" thickBot="1" x14ac:dyDescent="0.4">
      <c r="B53" s="72"/>
      <c r="C53" s="465" t="s">
        <v>297</v>
      </c>
      <c r="D53" s="466"/>
      <c r="H53"/>
    </row>
    <row r="54" spans="2:8" ht="15" thickBot="1" x14ac:dyDescent="0.4">
      <c r="B54" s="23"/>
      <c r="C54" s="272" t="s">
        <v>298</v>
      </c>
      <c r="D54" s="303">
        <f>(D29*1000*D30)</f>
        <v>40000</v>
      </c>
      <c r="F54" s="334"/>
      <c r="G54" s="467"/>
      <c r="H54" s="468"/>
    </row>
    <row r="55" spans="2:8" ht="15" thickBot="1" x14ac:dyDescent="0.4">
      <c r="B55" s="23"/>
      <c r="C55" s="272" t="s">
        <v>299</v>
      </c>
      <c r="D55" s="303">
        <f>IF(D29&lt;10,ROUNDUP(D54/(230*0.8),0),ROUNDUP(D54/(400*1.732),0))</f>
        <v>58</v>
      </c>
      <c r="F55" s="334"/>
      <c r="G55" s="467"/>
      <c r="H55" s="468"/>
    </row>
    <row r="56" spans="2:8" ht="15" thickBot="1" x14ac:dyDescent="0.4">
      <c r="B56" s="23"/>
      <c r="C56" s="272" t="s">
        <v>300</v>
      </c>
      <c r="D56" s="303">
        <f>ROUNDUP(D55*1.25,0)</f>
        <v>73</v>
      </c>
      <c r="F56" s="334"/>
      <c r="G56" s="467"/>
      <c r="H56" s="468"/>
    </row>
    <row r="57" spans="2:8" ht="15" thickBot="1" x14ac:dyDescent="0.4">
      <c r="B57" s="23"/>
      <c r="C57" s="272" t="s">
        <v>301</v>
      </c>
      <c r="D57" s="303">
        <f>'Backend Values'!D13</f>
        <v>100</v>
      </c>
      <c r="F57" s="334"/>
      <c r="G57" s="467"/>
      <c r="H57" s="468"/>
    </row>
    <row r="58" spans="2:8" ht="15" thickBot="1" x14ac:dyDescent="0.4">
      <c r="B58" s="23"/>
      <c r="C58" s="272" t="s">
        <v>302</v>
      </c>
      <c r="D58" s="303">
        <f>D30</f>
        <v>2</v>
      </c>
      <c r="F58" s="334"/>
      <c r="G58" s="467"/>
      <c r="H58" s="468"/>
    </row>
    <row r="59" spans="2:8" x14ac:dyDescent="0.35">
      <c r="D59" s="7"/>
      <c r="H59"/>
    </row>
    <row r="60" spans="2:8" ht="25" customHeight="1" thickBot="1" x14ac:dyDescent="0.4">
      <c r="B60" s="72"/>
      <c r="C60" s="465" t="s">
        <v>303</v>
      </c>
      <c r="D60" s="466"/>
      <c r="H60"/>
    </row>
    <row r="61" spans="2:8" ht="15" thickBot="1" x14ac:dyDescent="0.4">
      <c r="B61" s="23"/>
      <c r="C61" s="272" t="s">
        <v>304</v>
      </c>
      <c r="D61" s="24" t="str">
        <f>IF(D30&gt;1,"Yes","No")</f>
        <v>Yes</v>
      </c>
      <c r="F61" s="334"/>
      <c r="G61" s="467"/>
      <c r="H61" s="468"/>
    </row>
    <row r="62" spans="2:8" ht="15" thickBot="1" x14ac:dyDescent="0.4">
      <c r="B62" s="23"/>
      <c r="C62" s="272" t="s">
        <v>305</v>
      </c>
      <c r="D62" s="303">
        <f>D54+(D45*D46)</f>
        <v>94000</v>
      </c>
      <c r="F62" s="334"/>
      <c r="G62" s="467"/>
      <c r="H62" s="468"/>
    </row>
    <row r="63" spans="2:8" ht="15" thickBot="1" x14ac:dyDescent="0.4">
      <c r="B63" s="23"/>
      <c r="C63" s="272" t="s">
        <v>299</v>
      </c>
      <c r="D63" s="303">
        <f>ROUNDUP(D62/(400*1.732),0)</f>
        <v>136</v>
      </c>
      <c r="F63" s="334"/>
      <c r="G63" s="467"/>
      <c r="H63" s="468"/>
    </row>
    <row r="64" spans="2:8" ht="15" thickBot="1" x14ac:dyDescent="0.4">
      <c r="B64" s="23"/>
      <c r="C64" s="272" t="s">
        <v>300</v>
      </c>
      <c r="D64" s="303">
        <f>ROUNDUP(D63*1.25,0)</f>
        <v>170</v>
      </c>
      <c r="F64" s="334"/>
      <c r="G64" s="467"/>
      <c r="H64" s="468"/>
    </row>
    <row r="65" spans="2:32" ht="15" thickBot="1" x14ac:dyDescent="0.4">
      <c r="B65" s="23"/>
      <c r="C65" s="272" t="s">
        <v>301</v>
      </c>
      <c r="D65" s="303">
        <f>'Backend Values'!D25</f>
        <v>200</v>
      </c>
      <c r="F65" s="334"/>
      <c r="G65" s="467"/>
      <c r="H65" s="468"/>
    </row>
    <row r="66" spans="2:32" ht="15" thickBot="1" x14ac:dyDescent="0.4">
      <c r="B66" s="23"/>
      <c r="C66" s="272" t="s">
        <v>302</v>
      </c>
      <c r="D66" s="370">
        <v>2</v>
      </c>
      <c r="F66" s="334"/>
      <c r="G66" s="467"/>
      <c r="H66" s="468"/>
    </row>
    <row r="67" spans="2:32" x14ac:dyDescent="0.35">
      <c r="H67"/>
    </row>
    <row r="68" spans="2:32" x14ac:dyDescent="0.35">
      <c r="H68"/>
    </row>
    <row r="69" spans="2:32" ht="25" customHeight="1" thickBot="1" x14ac:dyDescent="0.4">
      <c r="B69" s="72"/>
      <c r="C69" s="465" t="s">
        <v>306</v>
      </c>
      <c r="D69" s="466"/>
      <c r="H69"/>
    </row>
    <row r="70" spans="2:32" ht="15" thickBot="1" x14ac:dyDescent="0.4">
      <c r="B70" s="23"/>
      <c r="C70" s="272" t="s">
        <v>307</v>
      </c>
      <c r="D70" s="304">
        <f>'Backend Values'!L89</f>
        <v>10</v>
      </c>
      <c r="F70" s="334"/>
      <c r="G70" s="467"/>
      <c r="H70" s="468"/>
    </row>
    <row r="71" spans="2:32" ht="15" thickBot="1" x14ac:dyDescent="0.4">
      <c r="H71"/>
    </row>
    <row r="72" spans="2:32" ht="15" thickBot="1" x14ac:dyDescent="0.4">
      <c r="B72" s="23"/>
      <c r="C72" s="272" t="s">
        <v>308</v>
      </c>
      <c r="D72" s="355">
        <v>30</v>
      </c>
      <c r="F72" s="334"/>
      <c r="H72"/>
    </row>
    <row r="74" spans="2:32" ht="15" thickBot="1" x14ac:dyDescent="0.4"/>
    <row r="75" spans="2:32" ht="25" customHeight="1" thickBot="1" x14ac:dyDescent="0.4">
      <c r="B75" s="69"/>
      <c r="C75" s="469" t="s">
        <v>309</v>
      </c>
      <c r="D75" s="470"/>
      <c r="E75" s="470"/>
      <c r="F75" s="470"/>
      <c r="G75" s="470"/>
      <c r="H75" s="470"/>
      <c r="I75" s="470"/>
      <c r="J75" s="470"/>
      <c r="K75" s="471"/>
      <c r="L75" s="100"/>
      <c r="M75" s="244"/>
      <c r="N75" s="245"/>
      <c r="O75" s="245"/>
      <c r="P75" s="245"/>
      <c r="Q75" s="245"/>
      <c r="R75" s="245"/>
      <c r="S75" s="245"/>
      <c r="T75" s="245"/>
      <c r="U75" s="245"/>
      <c r="V75" s="245"/>
      <c r="W75" s="245"/>
      <c r="X75" s="245"/>
      <c r="Y75" s="245"/>
      <c r="Z75" s="245"/>
      <c r="AA75" s="245"/>
      <c r="AB75" s="245"/>
      <c r="AC75" s="245"/>
      <c r="AD75" s="245"/>
      <c r="AE75" s="245"/>
      <c r="AF75" s="246"/>
    </row>
    <row r="76" spans="2:32" s="2" customFormat="1" ht="29.5" thickBot="1" x14ac:dyDescent="0.4">
      <c r="B76" s="284"/>
      <c r="C76" s="218" t="s">
        <v>310</v>
      </c>
      <c r="D76" s="219" t="s">
        <v>311</v>
      </c>
      <c r="E76" s="219" t="s">
        <v>312</v>
      </c>
      <c r="F76" s="219" t="s">
        <v>313</v>
      </c>
      <c r="G76" s="219" t="s">
        <v>314</v>
      </c>
      <c r="H76" s="219" t="s">
        <v>315</v>
      </c>
      <c r="I76" s="219" t="s">
        <v>316</v>
      </c>
      <c r="J76" s="220" t="s">
        <v>317</v>
      </c>
      <c r="K76" s="222" t="s">
        <v>318</v>
      </c>
      <c r="L76" s="221"/>
      <c r="M76" s="142"/>
      <c r="N76" s="142"/>
      <c r="O76" s="142"/>
      <c r="P76" s="142"/>
      <c r="Q76" s="142"/>
      <c r="R76" s="142"/>
      <c r="S76" s="142"/>
      <c r="T76" s="142"/>
      <c r="U76" s="142"/>
      <c r="V76" s="142"/>
      <c r="W76" s="142"/>
      <c r="X76" s="142"/>
      <c r="Y76" s="142"/>
      <c r="Z76" s="142"/>
      <c r="AA76" s="142"/>
      <c r="AB76" s="142"/>
      <c r="AC76" s="142"/>
      <c r="AD76" s="142"/>
      <c r="AE76" s="142"/>
      <c r="AF76" s="142"/>
    </row>
    <row r="77" spans="2:32" ht="29.5" thickBot="1" x14ac:dyDescent="0.4">
      <c r="B77" s="285"/>
      <c r="C77" s="223">
        <v>316.8</v>
      </c>
      <c r="D77" s="214">
        <v>700</v>
      </c>
      <c r="E77" s="214">
        <v>40</v>
      </c>
      <c r="F77" s="214">
        <f t="shared" ref="F77:F98" si="0">D77/E77</f>
        <v>17.5</v>
      </c>
      <c r="G77" s="213">
        <f t="shared" ref="G77:G98" si="1">E77/D77</f>
        <v>5.7142857142857141E-2</v>
      </c>
      <c r="H77" s="213">
        <f t="shared" ref="H77:H98" si="2">E77/C77</f>
        <v>0.12626262626262627</v>
      </c>
      <c r="I77" s="214">
        <f t="shared" ref="I77:I98" si="3">D77/C77</f>
        <v>2.2095959595959593</v>
      </c>
      <c r="J77" s="217">
        <v>96258960</v>
      </c>
      <c r="K77" s="217">
        <v>19585000</v>
      </c>
      <c r="L77" s="207"/>
      <c r="M77" s="100"/>
      <c r="N77" s="100"/>
      <c r="O77" s="100"/>
      <c r="P77" s="100"/>
      <c r="Q77" s="100"/>
      <c r="R77" s="249"/>
      <c r="S77" s="99"/>
      <c r="T77" s="462" t="s">
        <v>319</v>
      </c>
      <c r="U77" s="463"/>
      <c r="V77" s="464"/>
      <c r="W77" s="387" t="s">
        <v>592</v>
      </c>
      <c r="X77" s="100"/>
      <c r="Y77" s="100"/>
      <c r="Z77" s="100"/>
      <c r="AA77" s="100"/>
      <c r="AB77" s="100"/>
      <c r="AC77" s="99"/>
      <c r="AD77" s="100"/>
      <c r="AE77" s="99"/>
      <c r="AF77" s="99"/>
    </row>
    <row r="78" spans="2:32" ht="15" thickBot="1" x14ac:dyDescent="0.4">
      <c r="B78" s="285"/>
      <c r="C78" s="223">
        <v>120</v>
      </c>
      <c r="D78" s="214">
        <v>466</v>
      </c>
      <c r="E78" s="214">
        <v>37</v>
      </c>
      <c r="F78" s="214">
        <f t="shared" si="0"/>
        <v>12.594594594594595</v>
      </c>
      <c r="G78" s="213">
        <f t="shared" si="1"/>
        <v>7.9399141630901282E-2</v>
      </c>
      <c r="H78" s="213">
        <f t="shared" si="2"/>
        <v>0.30833333333333335</v>
      </c>
      <c r="I78" s="214">
        <f t="shared" si="3"/>
        <v>3.8833333333333333</v>
      </c>
      <c r="J78" s="217"/>
      <c r="K78" s="217"/>
      <c r="L78" s="207"/>
      <c r="M78" s="100"/>
      <c r="N78" s="100"/>
      <c r="O78" s="100"/>
      <c r="P78" s="100"/>
      <c r="Q78" s="100"/>
      <c r="R78" s="100"/>
      <c r="S78" s="99"/>
      <c r="T78" s="100"/>
      <c r="U78" s="99"/>
      <c r="V78" s="99"/>
      <c r="W78" s="100"/>
      <c r="X78" s="99"/>
      <c r="Y78" s="100"/>
      <c r="Z78" s="100"/>
      <c r="AA78" s="100"/>
      <c r="AB78" s="100"/>
      <c r="AC78" s="99"/>
      <c r="AD78" s="100"/>
      <c r="AE78" s="99"/>
      <c r="AF78" s="99"/>
    </row>
    <row r="79" spans="2:32" ht="16" thickBot="1" x14ac:dyDescent="0.4">
      <c r="B79" s="285"/>
      <c r="C79" s="223">
        <v>95</v>
      </c>
      <c r="D79" s="214">
        <v>280</v>
      </c>
      <c r="E79" s="214">
        <v>36</v>
      </c>
      <c r="F79" s="214">
        <f t="shared" si="0"/>
        <v>7.7777777777777777</v>
      </c>
      <c r="G79" s="213">
        <f t="shared" si="1"/>
        <v>0.12857142857142856</v>
      </c>
      <c r="H79" s="213">
        <f t="shared" si="2"/>
        <v>0.37894736842105264</v>
      </c>
      <c r="I79" s="214">
        <f t="shared" si="3"/>
        <v>2.9473684210526314</v>
      </c>
      <c r="J79" s="217">
        <v>46916088</v>
      </c>
      <c r="K79" s="217">
        <v>14144600</v>
      </c>
      <c r="L79" s="207"/>
      <c r="M79" s="469" t="s">
        <v>320</v>
      </c>
      <c r="N79" s="470"/>
      <c r="O79" s="470"/>
      <c r="P79" s="470"/>
      <c r="Q79" s="470"/>
      <c r="R79" s="470"/>
      <c r="S79" s="470"/>
      <c r="T79" s="470"/>
      <c r="U79" s="470"/>
      <c r="V79" s="471"/>
      <c r="W79" s="469" t="s">
        <v>321</v>
      </c>
      <c r="X79" s="470"/>
      <c r="Y79" s="470"/>
      <c r="Z79" s="470"/>
      <c r="AA79" s="470"/>
      <c r="AB79" s="470"/>
      <c r="AC79" s="470"/>
      <c r="AD79" s="470"/>
      <c r="AE79" s="470"/>
      <c r="AF79" s="471"/>
    </row>
    <row r="80" spans="2:32" ht="15" thickBot="1" x14ac:dyDescent="0.4">
      <c r="B80" s="285"/>
      <c r="C80" s="223">
        <v>50</v>
      </c>
      <c r="D80" s="214">
        <v>175</v>
      </c>
      <c r="E80" s="214">
        <v>16</v>
      </c>
      <c r="F80" s="214">
        <f t="shared" si="0"/>
        <v>10.9375</v>
      </c>
      <c r="G80" s="213">
        <f t="shared" si="1"/>
        <v>9.1428571428571428E-2</v>
      </c>
      <c r="H80" s="213">
        <f t="shared" si="2"/>
        <v>0.32</v>
      </c>
      <c r="I80" s="214">
        <f t="shared" si="3"/>
        <v>3.5</v>
      </c>
      <c r="J80" s="217"/>
      <c r="K80" s="217"/>
      <c r="L80" s="207"/>
      <c r="M80" s="100"/>
      <c r="N80" s="100"/>
      <c r="O80" s="100"/>
      <c r="P80" s="100"/>
      <c r="Q80" s="100"/>
      <c r="R80" s="100"/>
      <c r="S80" s="99"/>
      <c r="T80" s="100"/>
      <c r="U80" s="99"/>
      <c r="V80" s="253"/>
      <c r="W80" s="251"/>
      <c r="X80" s="99"/>
      <c r="Y80" s="100"/>
      <c r="Z80" s="100"/>
      <c r="AA80" s="100"/>
      <c r="AB80" s="100"/>
      <c r="AC80" s="99"/>
      <c r="AD80" s="100"/>
      <c r="AE80" s="99"/>
      <c r="AF80" s="99"/>
    </row>
    <row r="81" spans="2:32" ht="16" thickBot="1" x14ac:dyDescent="0.4">
      <c r="B81" s="285"/>
      <c r="C81" s="223">
        <v>63.6</v>
      </c>
      <c r="D81" s="214">
        <v>160</v>
      </c>
      <c r="E81" s="214">
        <v>32</v>
      </c>
      <c r="F81" s="214">
        <f t="shared" si="0"/>
        <v>5</v>
      </c>
      <c r="G81" s="213">
        <f t="shared" si="1"/>
        <v>0.2</v>
      </c>
      <c r="H81" s="213">
        <f t="shared" si="2"/>
        <v>0.50314465408805031</v>
      </c>
      <c r="I81" s="214">
        <f t="shared" si="3"/>
        <v>2.5157232704402515</v>
      </c>
      <c r="J81" s="217">
        <v>35413242</v>
      </c>
      <c r="K81" s="217">
        <v>11167400</v>
      </c>
      <c r="L81" s="207"/>
      <c r="M81" s="469" t="s">
        <v>322</v>
      </c>
      <c r="N81" s="471"/>
      <c r="O81" s="100"/>
      <c r="P81" s="100"/>
      <c r="Q81" s="100"/>
      <c r="R81" s="100"/>
      <c r="S81" s="99"/>
      <c r="T81" s="100"/>
      <c r="U81" s="99"/>
      <c r="V81" s="253"/>
      <c r="W81" s="251"/>
      <c r="X81" s="469" t="s">
        <v>323</v>
      </c>
      <c r="Y81" s="471"/>
      <c r="Z81" s="100"/>
      <c r="AA81" s="100"/>
      <c r="AB81" s="247"/>
      <c r="AC81" s="247"/>
      <c r="AD81" s="100"/>
      <c r="AE81" s="248"/>
      <c r="AF81" s="99"/>
    </row>
    <row r="82" spans="2:32" ht="36.5" thickBot="1" x14ac:dyDescent="0.4">
      <c r="B82" s="285"/>
      <c r="C82" s="223">
        <v>40</v>
      </c>
      <c r="D82" s="214">
        <v>151</v>
      </c>
      <c r="E82" s="214">
        <v>13</v>
      </c>
      <c r="F82" s="214">
        <f t="shared" si="0"/>
        <v>11.615384615384615</v>
      </c>
      <c r="G82" s="213">
        <f t="shared" si="1"/>
        <v>8.6092715231788075E-2</v>
      </c>
      <c r="H82" s="213">
        <f t="shared" si="2"/>
        <v>0.32500000000000001</v>
      </c>
      <c r="I82" s="214">
        <f t="shared" si="3"/>
        <v>3.7749999999999999</v>
      </c>
      <c r="J82" s="217"/>
      <c r="K82" s="217"/>
      <c r="L82" s="207"/>
      <c r="M82" s="261" t="s">
        <v>324</v>
      </c>
      <c r="N82" s="261" t="s">
        <v>325</v>
      </c>
      <c r="O82" s="100"/>
      <c r="P82" s="100"/>
      <c r="Q82" s="100"/>
      <c r="R82" s="100"/>
      <c r="S82" s="99"/>
      <c r="T82" s="100"/>
      <c r="U82" s="99"/>
      <c r="V82" s="254"/>
      <c r="W82" s="221"/>
      <c r="X82" s="261" t="s">
        <v>324</v>
      </c>
      <c r="Y82" s="261" t="s">
        <v>325</v>
      </c>
      <c r="Z82" s="100"/>
      <c r="AA82" s="100"/>
      <c r="AB82" s="259"/>
      <c r="AC82" s="257"/>
      <c r="AD82" s="100"/>
      <c r="AE82" s="257"/>
      <c r="AF82" s="99"/>
    </row>
    <row r="83" spans="2:32" ht="15" thickBot="1" x14ac:dyDescent="0.4">
      <c r="B83" s="285"/>
      <c r="C83" s="223">
        <v>55.44</v>
      </c>
      <c r="D83" s="214">
        <v>140</v>
      </c>
      <c r="E83" s="214">
        <v>18</v>
      </c>
      <c r="F83" s="214">
        <f t="shared" si="0"/>
        <v>7.7777777777777777</v>
      </c>
      <c r="G83" s="213">
        <f t="shared" si="1"/>
        <v>0.12857142857142856</v>
      </c>
      <c r="H83" s="213">
        <f t="shared" si="2"/>
        <v>0.32467532467532467</v>
      </c>
      <c r="I83" s="214">
        <f t="shared" si="3"/>
        <v>2.5252525252525255</v>
      </c>
      <c r="J83" s="217">
        <v>30762168</v>
      </c>
      <c r="K83" s="217">
        <v>8810600</v>
      </c>
      <c r="L83" s="207"/>
      <c r="M83" s="231">
        <v>40</v>
      </c>
      <c r="N83" s="231">
        <v>150</v>
      </c>
      <c r="O83" s="100"/>
      <c r="P83" s="100"/>
      <c r="Q83" s="100"/>
      <c r="R83" s="100"/>
      <c r="S83" s="99"/>
      <c r="T83" s="100"/>
      <c r="U83" s="99"/>
      <c r="V83" s="255"/>
      <c r="W83" s="252"/>
      <c r="X83" s="231">
        <v>30</v>
      </c>
      <c r="Y83" s="231">
        <v>80</v>
      </c>
      <c r="Z83" s="100"/>
      <c r="AA83" s="100"/>
      <c r="AB83" s="260"/>
      <c r="AC83" s="258"/>
      <c r="AD83" s="100"/>
      <c r="AE83" s="258"/>
      <c r="AF83" s="99"/>
    </row>
    <row r="84" spans="2:32" ht="15" thickBot="1" x14ac:dyDescent="0.4">
      <c r="B84" s="285"/>
      <c r="C84" s="223">
        <v>50</v>
      </c>
      <c r="D84" s="214">
        <v>139</v>
      </c>
      <c r="E84" s="214">
        <v>15</v>
      </c>
      <c r="F84" s="214">
        <f t="shared" si="0"/>
        <v>9.2666666666666675</v>
      </c>
      <c r="G84" s="213">
        <f t="shared" si="1"/>
        <v>0.1079136690647482</v>
      </c>
      <c r="H84" s="213">
        <f t="shared" si="2"/>
        <v>0.3</v>
      </c>
      <c r="I84" s="214">
        <f t="shared" si="3"/>
        <v>2.78</v>
      </c>
      <c r="J84" s="217"/>
      <c r="K84" s="217"/>
      <c r="L84" s="207"/>
      <c r="M84" s="100"/>
      <c r="N84" s="100"/>
      <c r="O84" s="100"/>
      <c r="P84" s="100"/>
      <c r="Q84" s="100"/>
      <c r="R84" s="100"/>
      <c r="S84" s="99"/>
      <c r="T84" s="100"/>
      <c r="U84" s="99"/>
      <c r="V84" s="243"/>
      <c r="W84" s="207"/>
      <c r="X84" s="99"/>
      <c r="Y84" s="100"/>
      <c r="Z84" s="100"/>
      <c r="AA84" s="100"/>
      <c r="AB84" s="100"/>
      <c r="AC84" s="99"/>
      <c r="AD84" s="100"/>
      <c r="AE84" s="99"/>
      <c r="AF84" s="99"/>
    </row>
    <row r="85" spans="2:32" ht="16" thickBot="1" x14ac:dyDescent="0.4">
      <c r="B85" s="285"/>
      <c r="C85" s="223">
        <v>40</v>
      </c>
      <c r="D85" s="214">
        <v>95</v>
      </c>
      <c r="E85" s="214">
        <v>2</v>
      </c>
      <c r="F85" s="214">
        <f t="shared" si="0"/>
        <v>47.5</v>
      </c>
      <c r="G85" s="213">
        <f t="shared" si="1"/>
        <v>2.1052631578947368E-2</v>
      </c>
      <c r="H85" s="213">
        <f t="shared" si="2"/>
        <v>0.05</v>
      </c>
      <c r="I85" s="214">
        <f t="shared" si="3"/>
        <v>2.375</v>
      </c>
      <c r="J85" s="217"/>
      <c r="K85" s="217"/>
      <c r="L85" s="207"/>
      <c r="M85" s="99"/>
      <c r="N85" s="156"/>
      <c r="O85" s="469" t="s">
        <v>326</v>
      </c>
      <c r="P85" s="470"/>
      <c r="Q85" s="470"/>
      <c r="R85" s="470"/>
      <c r="S85" s="470"/>
      <c r="T85" s="470"/>
      <c r="U85" s="471"/>
      <c r="V85" s="243"/>
      <c r="W85" s="207"/>
      <c r="X85" s="99"/>
      <c r="Y85" s="156"/>
      <c r="Z85" s="469" t="s">
        <v>327</v>
      </c>
      <c r="AA85" s="470"/>
      <c r="AB85" s="470"/>
      <c r="AC85" s="470"/>
      <c r="AD85" s="470"/>
      <c r="AE85" s="470"/>
      <c r="AF85" s="471"/>
    </row>
    <row r="86" spans="2:32" ht="58.5" thickBot="1" x14ac:dyDescent="0.4">
      <c r="B86" s="285"/>
      <c r="C86" s="223">
        <v>20</v>
      </c>
      <c r="D86" s="214">
        <v>80</v>
      </c>
      <c r="E86" s="214">
        <v>9</v>
      </c>
      <c r="F86" s="214">
        <f t="shared" si="0"/>
        <v>8.8888888888888893</v>
      </c>
      <c r="G86" s="213">
        <f t="shared" si="1"/>
        <v>0.1125</v>
      </c>
      <c r="H86" s="213">
        <f t="shared" si="2"/>
        <v>0.45</v>
      </c>
      <c r="I86" s="214">
        <f t="shared" si="3"/>
        <v>4</v>
      </c>
      <c r="J86" s="217"/>
      <c r="K86" s="217"/>
      <c r="L86" s="207"/>
      <c r="M86" s="99"/>
      <c r="N86" s="100"/>
      <c r="O86" s="211" t="s">
        <v>310</v>
      </c>
      <c r="P86" s="216" t="s">
        <v>311</v>
      </c>
      <c r="Q86" s="215" t="s">
        <v>312</v>
      </c>
      <c r="R86" s="210" t="s">
        <v>313</v>
      </c>
      <c r="S86" s="210" t="s">
        <v>314</v>
      </c>
      <c r="T86" s="209" t="s">
        <v>315</v>
      </c>
      <c r="U86" s="209" t="s">
        <v>316</v>
      </c>
      <c r="V86" s="243"/>
      <c r="W86" s="207"/>
      <c r="X86" s="99"/>
      <c r="Y86" s="100"/>
      <c r="Z86" s="211" t="s">
        <v>310</v>
      </c>
      <c r="AA86" s="216" t="s">
        <v>311</v>
      </c>
      <c r="AB86" s="215" t="s">
        <v>312</v>
      </c>
      <c r="AC86" s="210" t="s">
        <v>313</v>
      </c>
      <c r="AD86" s="210" t="s">
        <v>314</v>
      </c>
      <c r="AE86" s="209" t="s">
        <v>315</v>
      </c>
      <c r="AF86" s="209" t="s">
        <v>316</v>
      </c>
    </row>
    <row r="87" spans="2:32" ht="15" thickBot="1" x14ac:dyDescent="0.4">
      <c r="B87" s="285"/>
      <c r="C87" s="223">
        <v>21.6</v>
      </c>
      <c r="D87" s="214">
        <v>66</v>
      </c>
      <c r="E87" s="214">
        <v>10</v>
      </c>
      <c r="F87" s="214">
        <f t="shared" si="0"/>
        <v>6.6</v>
      </c>
      <c r="G87" s="213">
        <f t="shared" si="1"/>
        <v>0.15151515151515152</v>
      </c>
      <c r="H87" s="213">
        <f t="shared" si="2"/>
        <v>0.46296296296296291</v>
      </c>
      <c r="I87" s="214">
        <f t="shared" si="3"/>
        <v>3.0555555555555554</v>
      </c>
      <c r="J87" s="217">
        <v>17831622</v>
      </c>
      <c r="K87" s="217">
        <v>4309400</v>
      </c>
      <c r="L87" s="207"/>
      <c r="M87" s="477" t="str">
        <f>"Connection (0- " &amp; M83 &amp; ")"</f>
        <v>Connection (0- 40)</v>
      </c>
      <c r="N87" s="478"/>
      <c r="O87" s="226">
        <f>AVERAGEIFS(C77:C101, D77:D101, "&lt;"&amp;M83)</f>
        <v>10.703333333333333</v>
      </c>
      <c r="P87" s="230">
        <f>AVERAGEIF(D77:D101, "&lt;"&amp;M83)</f>
        <v>29.5</v>
      </c>
      <c r="Q87" s="230">
        <f>AVERAGEIFS(E77:E101, D77:D101, "&lt;"&amp;M83)</f>
        <v>2.1749999999999998</v>
      </c>
      <c r="R87" s="230">
        <f>AVERAGEIFS(F77:F101, D77:D101, "&lt;"&amp;M83)</f>
        <v>18.758860153256705</v>
      </c>
      <c r="S87" s="235">
        <f>AVERAGEIFS(G77:G101, D77:D101, "&lt;"&amp;M83)</f>
        <v>7.5582037358353157E-2</v>
      </c>
      <c r="T87" s="235">
        <f>AVERAGEIFS(H77:H101, D77:D101, "&lt;"&amp;M83)</f>
        <v>0.20133748196248194</v>
      </c>
      <c r="U87" s="230">
        <f>AVERAGEIFS(I77:I101, D77:D101, "&lt;"&amp;M83)</f>
        <v>2.7858856421356415</v>
      </c>
      <c r="V87" s="243"/>
      <c r="W87" s="207"/>
      <c r="X87" s="475" t="str">
        <f>"Capacity (0- " &amp; X83 &amp; ")"</f>
        <v>Capacity (0- 30)</v>
      </c>
      <c r="Y87" s="476"/>
      <c r="Z87" s="234">
        <f>AVERAGEIF(C77:C101, "&lt;"&amp;X83)</f>
        <v>15.547692307692309</v>
      </c>
      <c r="AA87" s="233">
        <f>AVERAGEIFS(D77:D101, C77:C101, "&lt;"&amp;X83)</f>
        <v>46.769230769230766</v>
      </c>
      <c r="AB87" s="233">
        <f>AVERAGEIFS(E77:E101, C77:C101, "&lt;"&amp;X83)</f>
        <v>4.4423076923076925</v>
      </c>
      <c r="AC87" s="233">
        <f>AVERAGEIFS(F77:F101, C77:C101, "&lt;"&amp;X83)</f>
        <v>16.055478190391984</v>
      </c>
      <c r="AD87" s="241">
        <f>AVERAGEIFS(G77:G101, C77:C101, "&lt;"&amp;X83)</f>
        <v>8.9553287256289318E-2</v>
      </c>
      <c r="AE87" s="241">
        <f>AVERAGEIFS(H77:H101, C77:C101, "&lt;"&amp;X83)</f>
        <v>0.26723864098864103</v>
      </c>
      <c r="AF87" s="241">
        <f>AVERAGEIFS(I77:I101, C77:C101, "&lt;"&amp;X83)</f>
        <v>3.0310666185666184</v>
      </c>
    </row>
    <row r="88" spans="2:32" ht="15" thickBot="1" x14ac:dyDescent="0.4">
      <c r="B88" s="285"/>
      <c r="C88" s="223">
        <v>29.7</v>
      </c>
      <c r="D88" s="214">
        <v>65</v>
      </c>
      <c r="E88" s="214">
        <v>3.2</v>
      </c>
      <c r="F88" s="214">
        <f t="shared" si="0"/>
        <v>20.3125</v>
      </c>
      <c r="G88" s="213">
        <f t="shared" si="1"/>
        <v>4.9230769230769231E-2</v>
      </c>
      <c r="H88" s="213">
        <f t="shared" si="2"/>
        <v>0.10774410774410775</v>
      </c>
      <c r="I88" s="214">
        <f t="shared" si="3"/>
        <v>2.1885521885521886</v>
      </c>
      <c r="J88" s="217">
        <v>18822676</v>
      </c>
      <c r="K88" s="217">
        <v>1954900</v>
      </c>
      <c r="L88" s="207"/>
      <c r="M88" s="479" t="str">
        <f>"Connection (" &amp; M83 &amp; " - "&amp; N83 &amp; ")"</f>
        <v>Connection (40 - 150)</v>
      </c>
      <c r="N88" s="480"/>
      <c r="O88" s="227">
        <f>AVERAGEIFS(C77:C101, D77:D101, "&gt;="&amp;M83, D77:D101, "&lt;"&amp;N83)</f>
        <v>28.333999999999996</v>
      </c>
      <c r="P88" s="227">
        <f>AVERAGEIFS(D77:D101, D77:D101, "&gt;="&amp;M83, D77:D101, "&lt;"&amp;N83)</f>
        <v>80.5</v>
      </c>
      <c r="Q88" s="227">
        <f>AVERAGEIFS(E77:E101, D77:D101, "&gt;="&amp;M83, D77:D101, "&lt;"&amp;N83)</f>
        <v>7.9700000000000006</v>
      </c>
      <c r="R88" s="227">
        <f>AVERAGEIFS(F77:F101, D77:D101, "&gt;="&amp;M83, D77:D101, "&lt;"&amp;N83)</f>
        <v>16.071249999999999</v>
      </c>
      <c r="S88" s="238">
        <f>AVERAGEIFS(G77:G101, D77:D101, "&gt;="&amp;M83, D77:D101, "&lt;"&amp;N83)</f>
        <v>9.6823823939676631E-2</v>
      </c>
      <c r="T88" s="237">
        <f>AVERAGEIFS(H77:H101, D77:D101, "&gt;="&amp;M83, D77:D101, "&lt;"&amp;N83)</f>
        <v>0.2940752765752766</v>
      </c>
      <c r="U88" s="237">
        <f>AVERAGEIFS(I77:I101, D77:D101, "&gt;="&amp;M83, D77:D101, "&lt;"&amp;N83)</f>
        <v>3.036880471380472</v>
      </c>
      <c r="V88" s="243"/>
      <c r="W88" s="207"/>
      <c r="X88" s="475" t="str">
        <f>"Capacity (" &amp; X83 &amp; " - "&amp; Y83 &amp; ")"</f>
        <v>Capacity (30 - 80)</v>
      </c>
      <c r="Y88" s="476"/>
      <c r="Z88" s="232">
        <f>AVERAGEIFS(C77:C101, C77:C101, "&gt;="&amp;X83, C77:C101, "&lt;"&amp;Y83)</f>
        <v>49.839999999999996</v>
      </c>
      <c r="AA88" s="232">
        <f>AVERAGEIFS(D77:D101, C77:C101, "&gt;="&amp;X83, C77:C101, "&lt;"&amp;Y83)</f>
        <v>143.33333333333334</v>
      </c>
      <c r="AB88" s="232">
        <f>AVERAGEIFS(E77:E101, C77:C101, "&gt;="&amp;X83, C77:C101, "&lt;"&amp;Y83)</f>
        <v>16</v>
      </c>
      <c r="AC88" s="232">
        <f>AVERAGEIFS(F77:F101, C77:C101, "&gt;="&amp;X83, C77:C101, "&lt;"&amp;Y83)</f>
        <v>15.349554843304844</v>
      </c>
      <c r="AD88" s="240">
        <f>AVERAGEIFS(G77:G101, C77:C101, "&gt;="&amp;X83, C77:C101, "&lt;"&amp;Y83)</f>
        <v>0.10584316931258059</v>
      </c>
      <c r="AE88" s="240">
        <f>AVERAGEIFS(H77:H101, C77:C101, "&gt;="&amp;X83, C77:C101, "&lt;"&amp;Y83)</f>
        <v>0.30380332979389585</v>
      </c>
      <c r="AF88" s="240">
        <f>AVERAGEIFS(I77:I101, C77:C101, "&gt;="&amp;X83, C77:C101, "&lt;"&amp;Y83)</f>
        <v>2.9118292992821293</v>
      </c>
    </row>
    <row r="89" spans="2:32" ht="15" thickBot="1" x14ac:dyDescent="0.4">
      <c r="B89" s="285"/>
      <c r="C89" s="223">
        <v>21.6</v>
      </c>
      <c r="D89" s="214">
        <v>60</v>
      </c>
      <c r="E89" s="214">
        <v>12.5</v>
      </c>
      <c r="F89" s="214">
        <f t="shared" si="0"/>
        <v>4.8</v>
      </c>
      <c r="G89" s="213">
        <f t="shared" si="1"/>
        <v>0.20833333333333334</v>
      </c>
      <c r="H89" s="213">
        <f t="shared" si="2"/>
        <v>0.57870370370370372</v>
      </c>
      <c r="I89" s="214">
        <f t="shared" si="3"/>
        <v>2.7777777777777777</v>
      </c>
      <c r="J89" s="217">
        <v>17495770</v>
      </c>
      <c r="K89" s="217">
        <v>4299000</v>
      </c>
      <c r="L89" s="207"/>
      <c r="M89" s="481" t="str">
        <f>"Connection (" &amp; N83 &amp; "+)"</f>
        <v>Connection (150+)</v>
      </c>
      <c r="N89" s="482"/>
      <c r="O89" s="229">
        <f>AVERAGEIFS(C77:C101, D77:D101, "&gt;="&amp;N83)</f>
        <v>114.23333333333333</v>
      </c>
      <c r="P89" s="229">
        <f>AVERAGEIF(D77:D101, "&gt;="&amp;N83)</f>
        <v>322</v>
      </c>
      <c r="Q89" s="228">
        <f>AVERAGEIFS(E77:E101, D77:D101, "&gt;="&amp;N83)</f>
        <v>29</v>
      </c>
      <c r="R89" s="228">
        <f>AVERAGEIFS(F77:F101, D77:D101, "&gt;="&amp;N83)</f>
        <v>10.904209497959499</v>
      </c>
      <c r="S89" s="239">
        <f>AVERAGEIFS(G77:G101, D77:D101, "&gt;="&amp;N83)</f>
        <v>0.10710578566759106</v>
      </c>
      <c r="T89" s="236">
        <f>AVERAGEIFS(H77:H101, D77:D101, "&gt;="&amp;N83)</f>
        <v>0.32694799701751048</v>
      </c>
      <c r="U89" s="236">
        <f>AVERAGEIFS(I77:I101, D77:D101, "&gt;="&amp;N83)</f>
        <v>3.1385034974036956</v>
      </c>
      <c r="V89" s="243"/>
      <c r="W89" s="207"/>
      <c r="X89" s="475" t="str">
        <f>"Capacity (" &amp; Y83 &amp; "+)"</f>
        <v>Capacity (80+)</v>
      </c>
      <c r="Y89" s="476"/>
      <c r="Z89" s="231">
        <f>AVERAGEIF(C77:C101, "&gt;="&amp;Y83)</f>
        <v>177.26666666666665</v>
      </c>
      <c r="AA89" s="231">
        <f>AVERAGEIFS(D77:D101, C77:C101, "&gt;="&amp;Y83)</f>
        <v>482</v>
      </c>
      <c r="AB89" s="231">
        <f>AVERAGEIFS(E77:E101, C77:C101, "&gt;="&amp;Y83)</f>
        <v>37.666666666666664</v>
      </c>
      <c r="AC89" s="231">
        <f>AVERAGEIFS(F77:F101, C77:C101, "&gt;="&amp;Y83)</f>
        <v>12.624124124124124</v>
      </c>
      <c r="AD89" s="242">
        <f>AVERAGEIFS(G77:G101, C77:C101, "&gt;="&amp;Y83)</f>
        <v>8.8371142448395654E-2</v>
      </c>
      <c r="AE89" s="242">
        <f>AVERAGEIFS(H77:H101, C77:C101, "&gt;="&amp;Y83)</f>
        <v>0.27118110933900413</v>
      </c>
      <c r="AF89" s="242">
        <f>AVERAGEIFS(I77:I101, C77:C101, "&gt;="&amp;Y83)</f>
        <v>3.0134325713273085</v>
      </c>
    </row>
    <row r="90" spans="2:32" ht="15" thickBot="1" x14ac:dyDescent="0.4">
      <c r="B90" s="285"/>
      <c r="C90" s="223">
        <v>15</v>
      </c>
      <c r="D90" s="214">
        <v>55</v>
      </c>
      <c r="E90" s="214">
        <v>2</v>
      </c>
      <c r="F90" s="214">
        <f t="shared" si="0"/>
        <v>27.5</v>
      </c>
      <c r="G90" s="213">
        <f t="shared" si="1"/>
        <v>3.6363636363636362E-2</v>
      </c>
      <c r="H90" s="213">
        <f t="shared" si="2"/>
        <v>0.13333333333333333</v>
      </c>
      <c r="I90" s="214">
        <f t="shared" si="3"/>
        <v>3.6666666666666665</v>
      </c>
      <c r="J90" s="217"/>
      <c r="K90" s="217"/>
      <c r="L90" s="207"/>
      <c r="M90" s="100"/>
      <c r="N90" s="100"/>
      <c r="O90" s="100"/>
      <c r="P90" s="100"/>
      <c r="Q90" s="100"/>
      <c r="R90" s="100"/>
      <c r="S90" s="99"/>
      <c r="T90" s="100"/>
      <c r="U90" s="99"/>
      <c r="V90" s="243"/>
      <c r="W90" s="207"/>
      <c r="X90" s="99"/>
      <c r="Y90" s="100"/>
      <c r="Z90" s="100"/>
      <c r="AA90" s="100"/>
      <c r="AB90" s="100"/>
      <c r="AC90" s="99"/>
      <c r="AD90" s="100"/>
      <c r="AE90" s="99"/>
      <c r="AF90" s="99"/>
    </row>
    <row r="91" spans="2:32" ht="15" thickBot="1" x14ac:dyDescent="0.4">
      <c r="B91" s="285"/>
      <c r="C91" s="223">
        <v>15</v>
      </c>
      <c r="D91" s="214">
        <v>53</v>
      </c>
      <c r="E91" s="214">
        <v>3</v>
      </c>
      <c r="F91" s="214">
        <f t="shared" si="0"/>
        <v>17.666666666666668</v>
      </c>
      <c r="G91" s="213">
        <f t="shared" si="1"/>
        <v>5.6603773584905662E-2</v>
      </c>
      <c r="H91" s="213">
        <f t="shared" si="2"/>
        <v>0.2</v>
      </c>
      <c r="I91" s="214">
        <f t="shared" si="3"/>
        <v>3.5333333333333332</v>
      </c>
      <c r="J91" s="217"/>
      <c r="K91" s="217"/>
      <c r="L91" s="207"/>
      <c r="M91" s="100"/>
      <c r="N91" s="100"/>
      <c r="O91" s="100"/>
      <c r="P91" s="100"/>
      <c r="Q91" s="100"/>
      <c r="R91" s="100"/>
      <c r="S91" s="99"/>
      <c r="T91" s="100"/>
      <c r="U91" s="99"/>
      <c r="V91" s="243"/>
      <c r="W91" s="207"/>
      <c r="X91" s="99"/>
      <c r="Y91" s="100"/>
      <c r="Z91" s="100"/>
      <c r="AA91" s="100"/>
      <c r="AB91" s="100"/>
      <c r="AC91" s="99"/>
      <c r="AD91" s="100"/>
      <c r="AE91" s="99"/>
      <c r="AF91" s="99"/>
    </row>
    <row r="92" spans="2:32" ht="15" thickBot="1" x14ac:dyDescent="0.4">
      <c r="B92" s="285"/>
      <c r="C92" s="223">
        <v>15</v>
      </c>
      <c r="D92" s="214">
        <v>52</v>
      </c>
      <c r="E92" s="214">
        <v>5</v>
      </c>
      <c r="F92" s="214">
        <f t="shared" si="0"/>
        <v>10.4</v>
      </c>
      <c r="G92" s="213">
        <f t="shared" si="1"/>
        <v>9.6153846153846159E-2</v>
      </c>
      <c r="H92" s="213">
        <f t="shared" si="2"/>
        <v>0.33333333333333331</v>
      </c>
      <c r="I92" s="214">
        <f t="shared" si="3"/>
        <v>3.4666666666666668</v>
      </c>
      <c r="J92" s="217"/>
      <c r="K92" s="217"/>
      <c r="L92" s="207"/>
      <c r="M92" s="100"/>
      <c r="N92" s="100"/>
      <c r="O92" s="100"/>
      <c r="P92" s="100"/>
      <c r="Q92" s="100"/>
      <c r="R92" s="100"/>
      <c r="S92" s="99"/>
      <c r="T92" s="100"/>
      <c r="U92" s="99"/>
      <c r="V92" s="243"/>
      <c r="W92" s="207"/>
      <c r="X92" s="99"/>
      <c r="Y92" s="100"/>
      <c r="Z92" s="100"/>
      <c r="AA92" s="100"/>
      <c r="AB92" s="100"/>
      <c r="AC92" s="99"/>
      <c r="AD92" s="100"/>
      <c r="AE92" s="99"/>
      <c r="AF92" s="99"/>
    </row>
    <row r="93" spans="2:32" ht="16" thickBot="1" x14ac:dyDescent="0.4">
      <c r="B93" s="285"/>
      <c r="C93" s="223">
        <v>10</v>
      </c>
      <c r="D93" s="214">
        <v>39</v>
      </c>
      <c r="E93" s="214">
        <v>1.6</v>
      </c>
      <c r="F93" s="214">
        <f t="shared" si="0"/>
        <v>24.375</v>
      </c>
      <c r="G93" s="213">
        <f t="shared" si="1"/>
        <v>4.1025641025641026E-2</v>
      </c>
      <c r="H93" s="213">
        <f t="shared" si="2"/>
        <v>0.16</v>
      </c>
      <c r="I93" s="214">
        <f t="shared" si="3"/>
        <v>3.9</v>
      </c>
      <c r="J93" s="217"/>
      <c r="K93" s="217"/>
      <c r="L93" s="207"/>
      <c r="M93" s="100"/>
      <c r="N93" s="100"/>
      <c r="O93" s="100"/>
      <c r="P93" s="100"/>
      <c r="Q93" s="100"/>
      <c r="R93" s="100"/>
      <c r="S93" s="469" t="s">
        <v>328</v>
      </c>
      <c r="T93" s="470"/>
      <c r="U93" s="470"/>
      <c r="V93" s="470"/>
      <c r="W93" s="470"/>
      <c r="X93" s="470"/>
      <c r="Y93" s="471"/>
      <c r="AA93" s="100"/>
      <c r="AB93" s="100"/>
      <c r="AC93" s="99"/>
      <c r="AD93" s="100"/>
      <c r="AE93" s="99"/>
      <c r="AF93" s="99"/>
    </row>
    <row r="94" spans="2:32" ht="58.5" thickBot="1" x14ac:dyDescent="0.4">
      <c r="B94" s="285"/>
      <c r="C94" s="223">
        <v>15</v>
      </c>
      <c r="D94" s="214">
        <v>38</v>
      </c>
      <c r="E94" s="214">
        <v>1</v>
      </c>
      <c r="F94" s="214">
        <f t="shared" si="0"/>
        <v>38</v>
      </c>
      <c r="G94" s="213">
        <f t="shared" si="1"/>
        <v>2.6315789473684209E-2</v>
      </c>
      <c r="H94" s="213">
        <f t="shared" si="2"/>
        <v>6.6666666666666666E-2</v>
      </c>
      <c r="I94" s="214">
        <f t="shared" si="3"/>
        <v>2.5333333333333332</v>
      </c>
      <c r="J94" s="217"/>
      <c r="K94" s="217"/>
      <c r="L94" s="207"/>
      <c r="M94" s="100"/>
      <c r="N94" s="100"/>
      <c r="O94" s="100"/>
      <c r="P94" s="100"/>
      <c r="Q94" s="100"/>
      <c r="R94" s="100"/>
      <c r="S94" s="211" t="s">
        <v>329</v>
      </c>
      <c r="T94" s="209" t="s">
        <v>311</v>
      </c>
      <c r="U94" s="209" t="s">
        <v>312</v>
      </c>
      <c r="V94" s="209" t="s">
        <v>313</v>
      </c>
      <c r="W94" s="209" t="s">
        <v>314</v>
      </c>
      <c r="X94" s="209" t="s">
        <v>315</v>
      </c>
      <c r="Y94" s="209" t="s">
        <v>316</v>
      </c>
      <c r="AA94" s="100"/>
      <c r="AB94" s="100"/>
      <c r="AC94" s="99"/>
      <c r="AD94" s="100"/>
      <c r="AE94" s="99"/>
      <c r="AF94" s="99"/>
    </row>
    <row r="95" spans="2:32" ht="16" thickBot="1" x14ac:dyDescent="0.4">
      <c r="B95" s="285"/>
      <c r="C95" s="223">
        <v>12.32</v>
      </c>
      <c r="D95" s="214">
        <v>35</v>
      </c>
      <c r="E95" s="214">
        <v>6</v>
      </c>
      <c r="F95" s="214">
        <f t="shared" si="0"/>
        <v>5.833333333333333</v>
      </c>
      <c r="G95" s="213">
        <f t="shared" si="1"/>
        <v>0.17142857142857143</v>
      </c>
      <c r="H95" s="213">
        <f t="shared" si="2"/>
        <v>0.48701298701298701</v>
      </c>
      <c r="I95" s="214">
        <f t="shared" si="3"/>
        <v>2.8409090909090908</v>
      </c>
      <c r="J95" s="217">
        <v>12145276</v>
      </c>
      <c r="K95" s="217">
        <v>2642200</v>
      </c>
      <c r="L95" s="207"/>
      <c r="M95" s="100"/>
      <c r="N95" s="100"/>
      <c r="O95" s="250"/>
      <c r="P95" s="247"/>
      <c r="Q95" s="247"/>
      <c r="R95" s="247"/>
      <c r="S95" s="116">
        <f>AVERAGE(Table5[Capacity of the System(kWp)])</f>
        <v>46.952727272727273</v>
      </c>
      <c r="T95" s="116">
        <f>AVERAGE(Table5[Nb of connections])</f>
        <v>132.45454545454547</v>
      </c>
      <c r="U95" s="256">
        <f>AVERAGE(Table5[Cable Length])</f>
        <v>12.124999999999998</v>
      </c>
      <c r="V95" s="256">
        <f>AVERAGE(Table5[Conn/km])</f>
        <v>15.395041723058965</v>
      </c>
      <c r="W95" s="116">
        <f>AVERAGE(Table5[Km/Conn])</f>
        <v>9.3834780797837816E-2</v>
      </c>
      <c r="X95" s="116">
        <f>AVERAGE(Table5[Km/KW])</f>
        <v>0.27774843816512368</v>
      </c>
      <c r="Y95" s="116">
        <f>AVERAGE(Table5[Conn/KW])</f>
        <v>2.9961427068654887</v>
      </c>
      <c r="AA95" s="100"/>
      <c r="AB95" s="100"/>
      <c r="AC95" s="99"/>
      <c r="AD95" s="100"/>
      <c r="AE95" s="99"/>
      <c r="AF95" s="99"/>
    </row>
    <row r="96" spans="2:32" ht="16" thickBot="1" x14ac:dyDescent="0.4">
      <c r="B96" s="285"/>
      <c r="C96" s="223">
        <v>10</v>
      </c>
      <c r="D96" s="214">
        <v>32</v>
      </c>
      <c r="E96" s="214">
        <v>2</v>
      </c>
      <c r="F96" s="214">
        <f t="shared" si="0"/>
        <v>16</v>
      </c>
      <c r="G96" s="213">
        <f t="shared" si="1"/>
        <v>6.25E-2</v>
      </c>
      <c r="H96" s="213">
        <f t="shared" si="2"/>
        <v>0.2</v>
      </c>
      <c r="I96" s="214">
        <f t="shared" si="3"/>
        <v>3.2</v>
      </c>
      <c r="J96" s="217"/>
      <c r="K96" s="217"/>
      <c r="L96" s="207"/>
      <c r="M96" s="100"/>
      <c r="N96" s="100"/>
      <c r="O96" s="472"/>
      <c r="P96" s="473"/>
      <c r="Q96" s="473"/>
      <c r="R96" s="474"/>
      <c r="S96" s="99"/>
      <c r="T96" s="100"/>
      <c r="U96" s="102"/>
      <c r="W96" s="6"/>
      <c r="X96" s="103"/>
      <c r="Y96" s="100"/>
      <c r="Z96" s="100"/>
      <c r="AA96" s="100"/>
      <c r="AB96" s="100"/>
      <c r="AC96" s="99"/>
      <c r="AD96" s="100"/>
      <c r="AE96" s="99"/>
      <c r="AF96" s="99"/>
    </row>
    <row r="97" spans="2:32" ht="15" thickBot="1" x14ac:dyDescent="0.4">
      <c r="B97" s="285"/>
      <c r="C97" s="223">
        <v>6.4</v>
      </c>
      <c r="D97" s="214">
        <v>18</v>
      </c>
      <c r="E97" s="214">
        <v>1</v>
      </c>
      <c r="F97" s="214">
        <f t="shared" si="0"/>
        <v>18</v>
      </c>
      <c r="G97" s="213">
        <f t="shared" si="1"/>
        <v>5.5555555555555552E-2</v>
      </c>
      <c r="H97" s="213">
        <f t="shared" si="2"/>
        <v>0.15625</v>
      </c>
      <c r="I97" s="214">
        <f t="shared" si="3"/>
        <v>2.8125</v>
      </c>
      <c r="J97" s="217">
        <v>8778188</v>
      </c>
      <c r="K97" s="217">
        <v>1158600</v>
      </c>
      <c r="L97" s="207"/>
      <c r="M97" s="100"/>
      <c r="N97" s="100"/>
      <c r="O97" s="225"/>
      <c r="P97" s="225"/>
      <c r="Q97" s="225"/>
      <c r="R97" s="224"/>
      <c r="Z97" s="100"/>
      <c r="AA97" s="100"/>
      <c r="AB97" s="100"/>
      <c r="AC97" s="99"/>
      <c r="AD97" s="100"/>
      <c r="AE97" s="99"/>
      <c r="AF97" s="99"/>
    </row>
    <row r="98" spans="2:32" ht="15" thickBot="1" x14ac:dyDescent="0.4">
      <c r="B98" s="285"/>
      <c r="C98" s="223">
        <v>10.5</v>
      </c>
      <c r="D98" s="214">
        <v>15</v>
      </c>
      <c r="E98" s="214">
        <v>1.45</v>
      </c>
      <c r="F98" s="214">
        <f t="shared" si="0"/>
        <v>10.344827586206897</v>
      </c>
      <c r="G98" s="213">
        <f t="shared" si="1"/>
        <v>9.6666666666666665E-2</v>
      </c>
      <c r="H98" s="213">
        <f t="shared" si="2"/>
        <v>0.1380952380952381</v>
      </c>
      <c r="I98" s="214">
        <f t="shared" si="3"/>
        <v>1.4285714285714286</v>
      </c>
      <c r="J98" s="217">
        <v>9925837</v>
      </c>
      <c r="K98" s="217">
        <v>717000</v>
      </c>
      <c r="L98" s="207"/>
      <c r="M98" s="100"/>
      <c r="N98" s="100"/>
      <c r="O98" s="225"/>
      <c r="P98" s="225"/>
      <c r="Q98" s="225"/>
      <c r="R98" s="224"/>
      <c r="Z98" s="100"/>
      <c r="AA98" s="100"/>
      <c r="AB98" s="100"/>
      <c r="AC98" s="99"/>
      <c r="AD98" s="100"/>
      <c r="AE98" s="99"/>
      <c r="AF98" s="99"/>
    </row>
    <row r="99" spans="2:32" ht="15" thickBot="1" x14ac:dyDescent="0.4">
      <c r="B99" s="285"/>
      <c r="C99" s="223"/>
      <c r="D99" s="214"/>
      <c r="E99" s="214"/>
      <c r="F99" s="214" t="str">
        <f t="shared" ref="F99:F101" si="4">IF(AND(D99&lt;&gt;0,E99 &lt;&gt;0), D99/E99, "")</f>
        <v/>
      </c>
      <c r="G99" s="213" t="str">
        <f t="shared" ref="G99:G101" si="5">IF(AND(D99&lt;&gt;0,E99 &lt;&gt;0), E99/D99, "")</f>
        <v/>
      </c>
      <c r="H99" s="213" t="str">
        <f t="shared" ref="H99:H101" si="6">IF(AND(C99&lt;&gt;0,E99 &lt;&gt;0), E99/C99, "")</f>
        <v/>
      </c>
      <c r="I99" s="214" t="str">
        <f t="shared" ref="I99:I101" si="7">IF(AND(C99&lt;&gt;0,D99 &lt;&gt;0), D99/C99, "")</f>
        <v/>
      </c>
      <c r="J99" s="217"/>
      <c r="K99" s="217"/>
      <c r="L99" s="207"/>
      <c r="M99" s="100"/>
      <c r="N99" s="100"/>
      <c r="O99" s="225"/>
      <c r="P99" s="225"/>
      <c r="Q99" s="225"/>
      <c r="R99" s="224"/>
      <c r="Z99" s="100"/>
      <c r="AA99" s="100"/>
      <c r="AB99" s="100"/>
      <c r="AC99" s="99"/>
      <c r="AD99" s="100"/>
      <c r="AE99" s="99"/>
      <c r="AF99" s="99"/>
    </row>
    <row r="100" spans="2:32" ht="15" thickBot="1" x14ac:dyDescent="0.4">
      <c r="B100" s="285"/>
      <c r="C100" s="223"/>
      <c r="D100" s="214"/>
      <c r="E100" s="214"/>
      <c r="F100" s="214" t="str">
        <f t="shared" si="4"/>
        <v/>
      </c>
      <c r="G100" s="213" t="str">
        <f t="shared" si="5"/>
        <v/>
      </c>
      <c r="H100" s="213" t="str">
        <f t="shared" si="6"/>
        <v/>
      </c>
      <c r="I100" s="214" t="str">
        <f t="shared" si="7"/>
        <v/>
      </c>
      <c r="J100" s="217"/>
      <c r="K100" s="217"/>
      <c r="L100" s="207"/>
      <c r="M100" s="100"/>
      <c r="N100" s="100"/>
      <c r="O100" s="225"/>
      <c r="P100" s="225"/>
      <c r="Q100" s="225"/>
      <c r="R100" s="224"/>
      <c r="S100" s="99"/>
      <c r="T100" s="100"/>
      <c r="U100" s="102"/>
      <c r="W100" s="6"/>
      <c r="X100" s="103"/>
      <c r="Y100" s="100"/>
      <c r="Z100" s="100"/>
      <c r="AA100" s="100"/>
      <c r="AB100" s="100"/>
      <c r="AC100" s="99"/>
      <c r="AD100" s="100"/>
      <c r="AE100" s="99"/>
      <c r="AF100" s="99"/>
    </row>
    <row r="101" spans="2:32" ht="15" thickBot="1" x14ac:dyDescent="0.4">
      <c r="B101" s="285"/>
      <c r="C101" s="223"/>
      <c r="D101" s="214"/>
      <c r="E101" s="214"/>
      <c r="F101" s="214" t="str">
        <f t="shared" si="4"/>
        <v/>
      </c>
      <c r="G101" s="213" t="str">
        <f t="shared" si="5"/>
        <v/>
      </c>
      <c r="H101" s="213" t="str">
        <f t="shared" si="6"/>
        <v/>
      </c>
      <c r="I101" s="214" t="str">
        <f t="shared" si="7"/>
        <v/>
      </c>
      <c r="J101" s="217"/>
      <c r="K101" s="217"/>
      <c r="L101" s="207"/>
      <c r="M101" s="100"/>
      <c r="N101" s="100"/>
      <c r="O101" s="225"/>
      <c r="P101" s="225"/>
      <c r="Q101" s="225"/>
      <c r="R101" s="224"/>
      <c r="S101" s="99"/>
      <c r="T101" s="100"/>
      <c r="U101" s="102"/>
      <c r="W101" s="6"/>
      <c r="X101" s="103"/>
      <c r="Y101" s="100"/>
      <c r="Z101" s="100"/>
      <c r="AA101" s="100"/>
      <c r="AB101" s="100"/>
      <c r="AC101" s="99"/>
      <c r="AD101" s="100"/>
      <c r="AE101" s="99"/>
      <c r="AF101" s="99"/>
    </row>
  </sheetData>
  <sheetProtection algorithmName="SHA-512" hashValue="AuD6Scvivwopz0cP/Ax3YXv4SiDvafzQWsIkdpE0ysaQBtGwXBLToKoyVB4Jdy69wQL0ZCzEULKaP7s4PaDWmg==" saltValue="gmp5hkDDRTuSXr+i98GQ8Q==" spinCount="100000" sheet="1" formatCells="0"/>
  <mergeCells count="74">
    <mergeCell ref="O96:R96"/>
    <mergeCell ref="M81:N81"/>
    <mergeCell ref="X81:Y81"/>
    <mergeCell ref="S93:Y93"/>
    <mergeCell ref="M79:V79"/>
    <mergeCell ref="X87:Y87"/>
    <mergeCell ref="X88:Y88"/>
    <mergeCell ref="X89:Y89"/>
    <mergeCell ref="M87:N87"/>
    <mergeCell ref="O85:U85"/>
    <mergeCell ref="M88:N88"/>
    <mergeCell ref="M89:N89"/>
    <mergeCell ref="G65:H65"/>
    <mergeCell ref="G66:H66"/>
    <mergeCell ref="G70:H70"/>
    <mergeCell ref="Z85:AF85"/>
    <mergeCell ref="W79:AF79"/>
    <mergeCell ref="C75:K75"/>
    <mergeCell ref="G58:H58"/>
    <mergeCell ref="G61:H61"/>
    <mergeCell ref="G62:H62"/>
    <mergeCell ref="G63:H63"/>
    <mergeCell ref="G64:H64"/>
    <mergeCell ref="G51:H51"/>
    <mergeCell ref="G54:H54"/>
    <mergeCell ref="G55:H55"/>
    <mergeCell ref="G56:H56"/>
    <mergeCell ref="G57:H57"/>
    <mergeCell ref="G44:H44"/>
    <mergeCell ref="G45:H45"/>
    <mergeCell ref="G46:H46"/>
    <mergeCell ref="G47:H47"/>
    <mergeCell ref="G50:H50"/>
    <mergeCell ref="G36:H36"/>
    <mergeCell ref="G37:H37"/>
    <mergeCell ref="G38:H38"/>
    <mergeCell ref="G39:H39"/>
    <mergeCell ref="G43:H43"/>
    <mergeCell ref="G29:H29"/>
    <mergeCell ref="G30:H30"/>
    <mergeCell ref="G33:H33"/>
    <mergeCell ref="G34:H34"/>
    <mergeCell ref="G35:H35"/>
    <mergeCell ref="G22:H22"/>
    <mergeCell ref="G23:H23"/>
    <mergeCell ref="G24:H24"/>
    <mergeCell ref="G27:H27"/>
    <mergeCell ref="G28:H28"/>
    <mergeCell ref="G17:H17"/>
    <mergeCell ref="G18:H18"/>
    <mergeCell ref="G19:H19"/>
    <mergeCell ref="G20:H20"/>
    <mergeCell ref="G21:H21"/>
    <mergeCell ref="G11:H11"/>
    <mergeCell ref="G12:H12"/>
    <mergeCell ref="G13:H13"/>
    <mergeCell ref="G14:H14"/>
    <mergeCell ref="G16:H16"/>
    <mergeCell ref="B2:F2"/>
    <mergeCell ref="T77:V77"/>
    <mergeCell ref="C53:D53"/>
    <mergeCell ref="C69:D69"/>
    <mergeCell ref="C60:D60"/>
    <mergeCell ref="C4:D4"/>
    <mergeCell ref="C49:D49"/>
    <mergeCell ref="C42:D42"/>
    <mergeCell ref="C32:D32"/>
    <mergeCell ref="C26:D26"/>
    <mergeCell ref="G5:H5"/>
    <mergeCell ref="G6:H6"/>
    <mergeCell ref="G7:H7"/>
    <mergeCell ref="G8:H8"/>
    <mergeCell ref="G9:H9"/>
    <mergeCell ref="G10:H10"/>
  </mergeCells>
  <conditionalFormatting sqref="B77:K77">
    <cfRule type="expression" dxfId="74" priority="131">
      <formula>$D$77&lt;$M$83</formula>
    </cfRule>
    <cfRule type="expression" dxfId="73" priority="130">
      <formula>AND($D$77&gt;=$M$83, $D$77&lt;$N$83)</formula>
    </cfRule>
    <cfRule type="expression" dxfId="72" priority="129">
      <formula>$D$77&gt;=$N$83</formula>
    </cfRule>
  </conditionalFormatting>
  <conditionalFormatting sqref="B78:K78">
    <cfRule type="expression" dxfId="71" priority="123">
      <formula>$D$78&lt;$M$83</formula>
    </cfRule>
    <cfRule type="expression" dxfId="70" priority="122">
      <formula>AND($D$78&gt;=$M$83, $D$78&lt;$N$83)</formula>
    </cfRule>
    <cfRule type="expression" dxfId="69" priority="121">
      <formula>$D$78&gt;=$N$83</formula>
    </cfRule>
  </conditionalFormatting>
  <conditionalFormatting sqref="B79:K79">
    <cfRule type="expression" dxfId="68" priority="117">
      <formula>$D$79&lt;$M$83</formula>
    </cfRule>
    <cfRule type="expression" dxfId="67" priority="116">
      <formula>AND($D$79&gt;=$M$83, $D$79&lt;$N$83)</formula>
    </cfRule>
    <cfRule type="expression" dxfId="66" priority="115">
      <formula>$D$79&gt;=$N$83</formula>
    </cfRule>
  </conditionalFormatting>
  <conditionalFormatting sqref="B80:K80">
    <cfRule type="expression" dxfId="65" priority="114">
      <formula>$D$80&lt;$M$83</formula>
    </cfRule>
    <cfRule type="expression" dxfId="64" priority="113">
      <formula>AND($D$80&gt;=$M$83, $D$80&lt;$N$83)</formula>
    </cfRule>
    <cfRule type="expression" dxfId="63" priority="112">
      <formula>$D$80&gt;=$N$83</formula>
    </cfRule>
  </conditionalFormatting>
  <conditionalFormatting sqref="B81:K81">
    <cfRule type="expression" dxfId="62" priority="111">
      <formula>$D$81&lt;$M$83</formula>
    </cfRule>
    <cfRule type="expression" dxfId="61" priority="110">
      <formula>AND($D$81&gt;=$M$83, $D$81&lt;$N$83)</formula>
    </cfRule>
    <cfRule type="expression" dxfId="60" priority="109">
      <formula>$D$81&gt;=$N$83</formula>
    </cfRule>
  </conditionalFormatting>
  <conditionalFormatting sqref="B82:K82">
    <cfRule type="expression" dxfId="59" priority="108">
      <formula>$D$82&lt;$M$83</formula>
    </cfRule>
    <cfRule type="expression" dxfId="58" priority="107">
      <formula>AND($D$82&gt;=$M$83, $D$82&lt;$N$83)</formula>
    </cfRule>
    <cfRule type="expression" dxfId="57" priority="106">
      <formula>$D$82&gt;=$N$83</formula>
    </cfRule>
  </conditionalFormatting>
  <conditionalFormatting sqref="B83:K83">
    <cfRule type="expression" dxfId="56" priority="105">
      <formula>$D$83&lt;$M$83</formula>
    </cfRule>
    <cfRule type="expression" dxfId="55" priority="104">
      <formula>AND($D$83&gt;=$M$83, $D$83&lt;$N$83)</formula>
    </cfRule>
    <cfRule type="expression" dxfId="54" priority="103">
      <formula>$D$83&gt;=$N$83</formula>
    </cfRule>
  </conditionalFormatting>
  <conditionalFormatting sqref="B84:K84">
    <cfRule type="expression" dxfId="53" priority="102">
      <formula>$D$84&lt;$M$83</formula>
    </cfRule>
    <cfRule type="expression" dxfId="52" priority="101">
      <formula>AND($D$84&gt;=$M$83, $D$84&lt;$N$83)</formula>
    </cfRule>
    <cfRule type="expression" dxfId="51" priority="100">
      <formula>$D$84&gt;=$N$83</formula>
    </cfRule>
  </conditionalFormatting>
  <conditionalFormatting sqref="B85:K85">
    <cfRule type="expression" dxfId="50" priority="99">
      <formula>$D$85&lt;$M$83</formula>
    </cfRule>
    <cfRule type="expression" dxfId="49" priority="98">
      <formula>AND($D$85&gt;=$M$83, $D$85&lt;$N$83)</formula>
    </cfRule>
    <cfRule type="expression" dxfId="48" priority="97">
      <formula>$D$85&gt;=$N$83</formula>
    </cfRule>
  </conditionalFormatting>
  <conditionalFormatting sqref="B86:K86">
    <cfRule type="expression" dxfId="47" priority="96">
      <formula>$D$86&lt;$M$83</formula>
    </cfRule>
    <cfRule type="expression" dxfId="46" priority="95">
      <formula>AND($D$86&gt;=$M$83, $D$86&lt;$N$83)</formula>
    </cfRule>
    <cfRule type="expression" dxfId="45" priority="94">
      <formula>$D$86&gt;=$N$83</formula>
    </cfRule>
  </conditionalFormatting>
  <conditionalFormatting sqref="B87:K87">
    <cfRule type="expression" dxfId="44" priority="93">
      <formula>$D$87&lt;$M$83</formula>
    </cfRule>
    <cfRule type="expression" dxfId="43" priority="92">
      <formula>AND($D$87&gt;=$M$83, $D$87&lt;$N$83)</formula>
    </cfRule>
    <cfRule type="expression" dxfId="42" priority="91">
      <formula>$D$87&gt;=$N$83</formula>
    </cfRule>
  </conditionalFormatting>
  <conditionalFormatting sqref="B88:K88">
    <cfRule type="expression" dxfId="41" priority="90">
      <formula>$D$88&lt;$M$83</formula>
    </cfRule>
    <cfRule type="expression" dxfId="40" priority="89">
      <formula>AND($D$88&gt;=$M$83, $D$88&lt;$N$83)</formula>
    </cfRule>
    <cfRule type="expression" dxfId="39" priority="88">
      <formula>$D$88&gt;=$N$83</formula>
    </cfRule>
  </conditionalFormatting>
  <conditionalFormatting sqref="B89:K89">
    <cfRule type="expression" dxfId="38" priority="85">
      <formula>$D$89&gt;=$N$83</formula>
    </cfRule>
    <cfRule type="expression" dxfId="37" priority="86">
      <formula>AND($D$89&gt;=$M$83, $D$89&lt;$N$83)</formula>
    </cfRule>
    <cfRule type="expression" dxfId="36" priority="87">
      <formula>$D$89&lt;$M$83</formula>
    </cfRule>
  </conditionalFormatting>
  <conditionalFormatting sqref="B90:K90">
    <cfRule type="expression" dxfId="35" priority="84">
      <formula>$D$90&lt;$M$83</formula>
    </cfRule>
    <cfRule type="expression" dxfId="34" priority="83">
      <formula>AND($D$90&gt;=$M$83, $D$90&lt;$N$83)</formula>
    </cfRule>
    <cfRule type="expression" dxfId="33" priority="82">
      <formula>$D$90&gt;=$N$83</formula>
    </cfRule>
  </conditionalFormatting>
  <conditionalFormatting sqref="B91:K91">
    <cfRule type="expression" dxfId="32" priority="81">
      <formula>$D$91&lt;$M$83</formula>
    </cfRule>
    <cfRule type="expression" dxfId="31" priority="80">
      <formula>AND($D$91&gt;=$M$83, $D$91&lt;$N$83)</formula>
    </cfRule>
    <cfRule type="expression" dxfId="30" priority="79">
      <formula>$D$91&gt;=$N$83</formula>
    </cfRule>
  </conditionalFormatting>
  <conditionalFormatting sqref="B92:K92">
    <cfRule type="expression" dxfId="29" priority="78">
      <formula>$D$92&lt;$M$83</formula>
    </cfRule>
    <cfRule type="expression" dxfId="28" priority="77">
      <formula>AND($D$92&gt;=$M$83, $D$92&lt;$N$83)</formula>
    </cfRule>
    <cfRule type="expression" dxfId="27" priority="76">
      <formula>$D$92&gt;=$N$83</formula>
    </cfRule>
  </conditionalFormatting>
  <conditionalFormatting sqref="B93:K93">
    <cfRule type="expression" dxfId="26" priority="75">
      <formula>$D$93&lt;$M$83</formula>
    </cfRule>
    <cfRule type="expression" dxfId="25" priority="74">
      <formula>AND($D$93&gt;=$M$83, $D$93&lt;$N$83)</formula>
    </cfRule>
    <cfRule type="expression" dxfId="24" priority="73">
      <formula>$D$93&gt;=$N$83</formula>
    </cfRule>
  </conditionalFormatting>
  <conditionalFormatting sqref="B94:K94">
    <cfRule type="expression" dxfId="23" priority="72">
      <formula>$D$94&lt;$M$83</formula>
    </cfRule>
    <cfRule type="expression" dxfId="22" priority="71">
      <formula>AND($D$94&gt;=$M$83, $D$94&lt;$N$83)</formula>
    </cfRule>
    <cfRule type="expression" dxfId="21" priority="70">
      <formula>$D$94&gt;=$N$83</formula>
    </cfRule>
  </conditionalFormatting>
  <conditionalFormatting sqref="B95:K95">
    <cfRule type="expression" dxfId="20" priority="69">
      <formula>$D$95&lt;$M$83</formula>
    </cfRule>
    <cfRule type="expression" dxfId="19" priority="68">
      <formula>AND($D$95&gt;=$M$83, $D$95&lt;$N$83)</formula>
    </cfRule>
    <cfRule type="expression" dxfId="18" priority="67">
      <formula>$D$95&gt;=$N$83</formula>
    </cfRule>
  </conditionalFormatting>
  <conditionalFormatting sqref="B96:K96">
    <cfRule type="expression" dxfId="17" priority="65">
      <formula>AND($D$96&gt;=$M$83, $D$96&lt;$N$83)</formula>
    </cfRule>
    <cfRule type="expression" dxfId="16" priority="64">
      <formula>$D$96&gt;=$N$83</formula>
    </cfRule>
    <cfRule type="expression" dxfId="15" priority="66">
      <formula>$D$96&lt;$M$83</formula>
    </cfRule>
  </conditionalFormatting>
  <conditionalFormatting sqref="B97:K97">
    <cfRule type="expression" dxfId="14" priority="63">
      <formula>$D$97&lt;$M$83</formula>
    </cfRule>
    <cfRule type="expression" dxfId="13" priority="62">
      <formula>AND($D$97&gt;=$M$83, $D$97&lt;$N$83)</formula>
    </cfRule>
    <cfRule type="expression" dxfId="12" priority="61">
      <formula>$D$97&gt;=$N$83</formula>
    </cfRule>
  </conditionalFormatting>
  <conditionalFormatting sqref="B98:K98">
    <cfRule type="expression" dxfId="11" priority="60">
      <formula>$D$98&lt;$M$83</formula>
    </cfRule>
    <cfRule type="expression" dxfId="10" priority="59">
      <formula>AND($D$98&gt;=$M$83, $D$98&lt;$N$83)</formula>
    </cfRule>
    <cfRule type="expression" dxfId="9" priority="58">
      <formula>$D$98&gt;=$N$83</formula>
    </cfRule>
  </conditionalFormatting>
  <conditionalFormatting sqref="B99:K99">
    <cfRule type="expression" dxfId="8" priority="57">
      <formula>$D$99&lt;$M$83</formula>
    </cfRule>
    <cfRule type="expression" dxfId="7" priority="56">
      <formula>AND($D$99&gt;=$M$83, $D$99&lt;$N$83)</formula>
    </cfRule>
    <cfRule type="expression" dxfId="6" priority="55">
      <formula>$D$99&gt;=$N$83</formula>
    </cfRule>
  </conditionalFormatting>
  <conditionalFormatting sqref="B100:K100">
    <cfRule type="expression" dxfId="5" priority="54">
      <formula>$D$100&lt;$M$83</formula>
    </cfRule>
    <cfRule type="expression" dxfId="4" priority="53">
      <formula>AND($D$100&gt;=$M$83, $D$100&lt;$N$83)</formula>
    </cfRule>
    <cfRule type="expression" dxfId="3" priority="52">
      <formula>$D$100&gt;=$N$83</formula>
    </cfRule>
  </conditionalFormatting>
  <conditionalFormatting sqref="B101:K101">
    <cfRule type="expression" dxfId="2" priority="49">
      <formula>$D$101&gt;=$N$83</formula>
    </cfRule>
    <cfRule type="expression" dxfId="1" priority="51">
      <formula>$D$101&lt;$M$83</formula>
    </cfRule>
    <cfRule type="expression" dxfId="0" priority="50">
      <formula>AND($D$101&gt;=$M$83, $D$101&lt;$N$83)</formula>
    </cfRule>
  </conditionalFormatting>
  <dataValidations count="7">
    <dataValidation type="list" allowBlank="1" showInputMessage="1" showErrorMessage="1" sqref="D39" xr:uid="{A3A982B0-FDE6-4EBF-908B-FCAE92DE08EB}">
      <formula1>"48,96"</formula1>
    </dataValidation>
    <dataValidation type="list" allowBlank="1" showInputMessage="1" showErrorMessage="1" sqref="D35" xr:uid="{BED448DF-C4E0-41F3-8548-10A939CC99B6}">
      <formula1>"1,1.25,1.5, 2"</formula1>
    </dataValidation>
    <dataValidation type="list" allowBlank="1" showInputMessage="1" showErrorMessage="1" sqref="D16" xr:uid="{A8858F47-8405-4BAC-8D22-4C12B2A58BD9}">
      <formula1>"310,315,320,325,370,390,395,400,405,410,415"</formula1>
    </dataValidation>
    <dataValidation type="list" allowBlank="1" showInputMessage="1" showErrorMessage="1" sqref="D23" xr:uid="{A5E73D93-0F20-438D-8690-7ECBE91FFD33}">
      <formula1>"4.0, 4.5, 5.0, 5.5"</formula1>
    </dataValidation>
    <dataValidation type="list" allowBlank="1" showInputMessage="1" showErrorMessage="1" sqref="D33" xr:uid="{49B452D3-9BF1-4E7E-8217-3D3A4711082A}">
      <formula1>"VRLA, Li-ion"</formula1>
    </dataValidation>
    <dataValidation type="decimal" operator="greaterThanOrEqual" allowBlank="1" showInputMessage="1" showErrorMessage="1" sqref="D66" xr:uid="{F0F27E7C-C084-426C-B209-880A1595D7D8}">
      <formula1>0</formula1>
    </dataValidation>
    <dataValidation type="list" allowBlank="1" showInputMessage="1" showErrorMessage="1" sqref="W77" xr:uid="{D81934F8-BEB2-4650-9B22-C4D4E49F65E7}">
      <formula1>"Connection, Capacity"</formula1>
    </dataValidation>
  </dataValidations>
  <pageMargins left="0.7" right="0.7" top="0.75" bottom="0.75" header="0.3" footer="0.3"/>
  <pageSetup scale="42" orientation="portrait" r:id="rId1"/>
  <ignoredErrors>
    <ignoredError sqref="D36:D37"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6EC9-CD11-4B99-ACE8-5150091C8C32}">
  <sheetPr codeName="Sheet18">
    <tabColor theme="1" tint="0.34998626667073579"/>
  </sheetPr>
  <dimension ref="B1:N111"/>
  <sheetViews>
    <sheetView showGridLines="0" zoomScale="90" zoomScaleNormal="90" zoomScaleSheetLayoutView="20" workbookViewId="0">
      <selection activeCell="A3" sqref="A3"/>
    </sheetView>
  </sheetViews>
  <sheetFormatPr defaultColWidth="8.453125" defaultRowHeight="14.5" x14ac:dyDescent="0.35"/>
  <cols>
    <col min="1" max="1" width="5.453125" customWidth="1"/>
    <col min="2" max="2" width="3.453125" customWidth="1"/>
    <col min="3" max="3" width="24.453125" customWidth="1"/>
    <col min="4" max="4" width="16.453125" customWidth="1"/>
    <col min="5" max="5" width="23.453125" customWidth="1"/>
    <col min="6" max="6" width="15.453125" customWidth="1"/>
    <col min="7" max="7" width="33.36328125" customWidth="1"/>
    <col min="8" max="8" width="4.453125" customWidth="1"/>
    <col min="9" max="10" width="23.453125" customWidth="1"/>
    <col min="11" max="11" width="15.453125" customWidth="1"/>
    <col min="12" max="12" width="10.453125" bestFit="1" customWidth="1"/>
    <col min="13" max="13" width="13.453125" customWidth="1"/>
    <col min="14" max="14" width="15.453125" bestFit="1" customWidth="1"/>
    <col min="15" max="15" width="18.453125" bestFit="1" customWidth="1"/>
    <col min="16" max="16" width="21.453125" bestFit="1" customWidth="1"/>
    <col min="17" max="17" width="9.453125" bestFit="1" customWidth="1"/>
    <col min="18" max="18" width="16.453125" bestFit="1" customWidth="1"/>
    <col min="21" max="22" width="22.453125" bestFit="1" customWidth="1"/>
  </cols>
  <sheetData>
    <row r="1" spans="2:12" ht="18" customHeight="1" x14ac:dyDescent="0.35"/>
    <row r="2" spans="2:12" ht="35" customHeight="1" x14ac:dyDescent="0.35">
      <c r="B2" s="461" t="s">
        <v>571</v>
      </c>
      <c r="C2" s="461"/>
      <c r="D2" s="461"/>
      <c r="E2" s="461"/>
      <c r="F2" s="461"/>
      <c r="G2" s="461"/>
      <c r="H2" s="461"/>
      <c r="I2" s="461"/>
      <c r="J2" s="461"/>
      <c r="K2" s="461"/>
      <c r="L2" s="461"/>
    </row>
    <row r="3" spans="2:12" ht="18" customHeight="1" thickBot="1" x14ac:dyDescent="0.4"/>
    <row r="4" spans="2:12" ht="25" customHeight="1" thickBot="1" x14ac:dyDescent="0.4">
      <c r="B4" s="35"/>
      <c r="C4" s="483" t="s">
        <v>396</v>
      </c>
      <c r="D4" s="484"/>
      <c r="E4" s="483" t="s">
        <v>397</v>
      </c>
      <c r="F4" s="484"/>
      <c r="H4" s="35"/>
      <c r="I4" s="10" t="s">
        <v>398</v>
      </c>
      <c r="J4" s="10" t="s">
        <v>399</v>
      </c>
    </row>
    <row r="5" spans="2:12" ht="18" customHeight="1" thickBot="1" x14ac:dyDescent="0.4">
      <c r="B5" s="24"/>
      <c r="C5" s="24" t="str">
        <f t="shared" ref="C5:C11" si="0">IF(D5&lt;=0,"NA",D5)</f>
        <v>NA</v>
      </c>
      <c r="D5" s="24">
        <f>E5-'Backend Design '!$D$56</f>
        <v>-67</v>
      </c>
      <c r="E5" s="356">
        <v>6</v>
      </c>
      <c r="F5" s="38" t="s">
        <v>400</v>
      </c>
      <c r="H5" s="24"/>
      <c r="I5" s="24" t="str">
        <f t="shared" ref="I5:I15" si="1">IF(J5&gt;=$K$89,J5-$K$89,"NA")</f>
        <v>NA</v>
      </c>
      <c r="J5" s="356">
        <v>2.5</v>
      </c>
    </row>
    <row r="6" spans="2:12" ht="18" customHeight="1" thickBot="1" x14ac:dyDescent="0.4">
      <c r="B6" s="24"/>
      <c r="C6" s="24" t="str">
        <f t="shared" si="0"/>
        <v>NA</v>
      </c>
      <c r="D6" s="24">
        <f>E6-'Backend Design '!$D$56</f>
        <v>-63</v>
      </c>
      <c r="E6" s="356">
        <v>10</v>
      </c>
      <c r="F6" s="38" t="s">
        <v>400</v>
      </c>
      <c r="H6" s="24"/>
      <c r="I6" s="24" t="str">
        <f t="shared" si="1"/>
        <v>NA</v>
      </c>
      <c r="J6" s="356">
        <v>4</v>
      </c>
    </row>
    <row r="7" spans="2:12" ht="18" customHeight="1" thickBot="1" x14ac:dyDescent="0.4">
      <c r="B7" s="24"/>
      <c r="C7" s="24" t="str">
        <f t="shared" si="0"/>
        <v>NA</v>
      </c>
      <c r="D7" s="24">
        <f>E7-'Backend Design '!$D$56</f>
        <v>-57</v>
      </c>
      <c r="E7" s="356">
        <v>16</v>
      </c>
      <c r="F7" s="38" t="s">
        <v>400</v>
      </c>
      <c r="H7" s="24"/>
      <c r="I7" s="24" t="str">
        <f t="shared" si="1"/>
        <v>NA</v>
      </c>
      <c r="J7" s="356">
        <v>6</v>
      </c>
    </row>
    <row r="8" spans="2:12" ht="18" customHeight="1" thickBot="1" x14ac:dyDescent="0.4">
      <c r="B8" s="24"/>
      <c r="C8" s="24" t="str">
        <f t="shared" si="0"/>
        <v>NA</v>
      </c>
      <c r="D8" s="24">
        <f>E8-'Backend Design '!$D$56</f>
        <v>-41</v>
      </c>
      <c r="E8" s="356">
        <v>32</v>
      </c>
      <c r="F8" s="38" t="s">
        <v>400</v>
      </c>
      <c r="H8" s="24"/>
      <c r="I8" s="24">
        <f t="shared" si="1"/>
        <v>3</v>
      </c>
      <c r="J8" s="356">
        <v>10</v>
      </c>
    </row>
    <row r="9" spans="2:12" ht="18" customHeight="1" thickBot="1" x14ac:dyDescent="0.4">
      <c r="B9" s="24"/>
      <c r="C9" s="24" t="str">
        <f t="shared" si="0"/>
        <v>NA</v>
      </c>
      <c r="D9" s="24">
        <f>E9-'Backend Design '!$D$56</f>
        <v>-10</v>
      </c>
      <c r="E9" s="356">
        <v>63</v>
      </c>
      <c r="F9" s="38" t="s">
        <v>400</v>
      </c>
      <c r="H9" s="24"/>
      <c r="I9" s="24">
        <f t="shared" si="1"/>
        <v>9</v>
      </c>
      <c r="J9" s="356">
        <v>16</v>
      </c>
    </row>
    <row r="10" spans="2:12" ht="18" customHeight="1" thickBot="1" x14ac:dyDescent="0.4">
      <c r="B10" s="24"/>
      <c r="C10" s="24">
        <f t="shared" si="0"/>
        <v>27</v>
      </c>
      <c r="D10" s="24">
        <f>E10-'Backend Design '!$D$56</f>
        <v>27</v>
      </c>
      <c r="E10" s="356">
        <v>100</v>
      </c>
      <c r="F10" s="38" t="s">
        <v>400</v>
      </c>
      <c r="H10" s="24"/>
      <c r="I10" s="24">
        <f t="shared" si="1"/>
        <v>18</v>
      </c>
      <c r="J10" s="356">
        <v>25</v>
      </c>
    </row>
    <row r="11" spans="2:12" ht="18" customHeight="1" thickBot="1" x14ac:dyDescent="0.4">
      <c r="B11" s="24"/>
      <c r="C11" s="24">
        <f t="shared" si="0"/>
        <v>127</v>
      </c>
      <c r="D11" s="26">
        <f>E11-'Backend Design '!$D$56</f>
        <v>127</v>
      </c>
      <c r="E11" s="357">
        <v>200</v>
      </c>
      <c r="F11" s="27" t="s">
        <v>400</v>
      </c>
      <c r="H11" s="24"/>
      <c r="I11" s="24">
        <f t="shared" si="1"/>
        <v>28</v>
      </c>
      <c r="J11" s="356">
        <v>35</v>
      </c>
    </row>
    <row r="12" spans="2:12" ht="18" customHeight="1" thickBot="1" x14ac:dyDescent="0.4">
      <c r="B12" s="38"/>
      <c r="C12" s="38" t="s">
        <v>401</v>
      </c>
      <c r="D12" s="41">
        <f>MIN(C5:C11)</f>
        <v>27</v>
      </c>
      <c r="H12" s="24"/>
      <c r="I12" s="24">
        <f t="shared" si="1"/>
        <v>43</v>
      </c>
      <c r="J12" s="356">
        <v>50</v>
      </c>
    </row>
    <row r="13" spans="2:12" ht="18" customHeight="1" thickBot="1" x14ac:dyDescent="0.4">
      <c r="B13" s="38"/>
      <c r="C13" s="38" t="s">
        <v>402</v>
      </c>
      <c r="D13" s="24">
        <f>VLOOKUP(D12,C5:E11,3,0)</f>
        <v>100</v>
      </c>
      <c r="H13" s="24"/>
      <c r="I13" s="24">
        <f t="shared" si="1"/>
        <v>63</v>
      </c>
      <c r="J13" s="356">
        <v>70</v>
      </c>
    </row>
    <row r="14" spans="2:12" ht="18" customHeight="1" thickBot="1" x14ac:dyDescent="0.4">
      <c r="H14" s="24"/>
      <c r="I14" s="24">
        <f t="shared" si="1"/>
        <v>88</v>
      </c>
      <c r="J14" s="356">
        <v>95</v>
      </c>
    </row>
    <row r="15" spans="2:12" ht="25" customHeight="1" thickBot="1" x14ac:dyDescent="0.4">
      <c r="B15" s="35"/>
      <c r="C15" s="483" t="s">
        <v>396</v>
      </c>
      <c r="D15" s="484"/>
      <c r="E15" s="483" t="s">
        <v>403</v>
      </c>
      <c r="F15" s="484"/>
      <c r="H15" s="24"/>
      <c r="I15" s="24">
        <f t="shared" si="1"/>
        <v>113</v>
      </c>
      <c r="J15" s="356">
        <v>120</v>
      </c>
    </row>
    <row r="16" spans="2:12" ht="18" customHeight="1" thickBot="1" x14ac:dyDescent="0.4">
      <c r="B16" s="24"/>
      <c r="C16" s="24" t="str">
        <f t="shared" ref="C16:C23" si="2">IF(D16&lt;=0,"NA",D16)</f>
        <v>NA</v>
      </c>
      <c r="D16" s="24">
        <f>E16-'Backend Design '!$D$64</f>
        <v>-164</v>
      </c>
      <c r="E16" s="356">
        <v>6</v>
      </c>
      <c r="F16" s="38" t="s">
        <v>400</v>
      </c>
      <c r="H16" s="24"/>
      <c r="I16" s="24"/>
      <c r="J16" s="356">
        <v>150</v>
      </c>
    </row>
    <row r="17" spans="2:14" ht="18" customHeight="1" thickBot="1" x14ac:dyDescent="0.4">
      <c r="B17" s="24"/>
      <c r="C17" s="24" t="str">
        <f t="shared" si="2"/>
        <v>NA</v>
      </c>
      <c r="D17" s="24">
        <f>E17-'Backend Design '!$D$64</f>
        <v>-160</v>
      </c>
      <c r="E17" s="356">
        <v>10</v>
      </c>
      <c r="F17" s="38" t="s">
        <v>400</v>
      </c>
      <c r="H17" s="38"/>
      <c r="I17" s="38" t="s">
        <v>401</v>
      </c>
      <c r="J17" s="39">
        <f>MIN(I5:I15)</f>
        <v>3</v>
      </c>
    </row>
    <row r="18" spans="2:14" ht="18" customHeight="1" thickBot="1" x14ac:dyDescent="0.4">
      <c r="B18" s="24"/>
      <c r="C18" s="24" t="str">
        <f t="shared" si="2"/>
        <v>NA</v>
      </c>
      <c r="D18" s="24">
        <f>E18-'Backend Design '!$D$64</f>
        <v>-154</v>
      </c>
      <c r="E18" s="356">
        <v>16</v>
      </c>
      <c r="F18" s="38" t="s">
        <v>400</v>
      </c>
    </row>
    <row r="19" spans="2:14" ht="25" customHeight="1" thickBot="1" x14ac:dyDescent="0.4">
      <c r="B19" s="24"/>
      <c r="C19" s="24" t="str">
        <f t="shared" si="2"/>
        <v>NA</v>
      </c>
      <c r="D19" s="24">
        <f>E19-'Backend Design '!$D$64</f>
        <v>-138</v>
      </c>
      <c r="E19" s="356">
        <v>32</v>
      </c>
      <c r="F19" s="38" t="s">
        <v>400</v>
      </c>
      <c r="H19" s="35"/>
      <c r="I19" s="48" t="s">
        <v>404</v>
      </c>
      <c r="J19" s="22"/>
    </row>
    <row r="20" spans="2:14" ht="18" customHeight="1" thickBot="1" x14ac:dyDescent="0.4">
      <c r="B20" s="24"/>
      <c r="C20" s="24" t="str">
        <f t="shared" si="2"/>
        <v>NA</v>
      </c>
      <c r="D20" s="24">
        <f>E20-'Backend Design '!$D$64</f>
        <v>-107</v>
      </c>
      <c r="E20" s="356">
        <v>63</v>
      </c>
      <c r="F20" s="38" t="s">
        <v>400</v>
      </c>
      <c r="H20" s="38"/>
      <c r="I20" s="38" t="s">
        <v>405</v>
      </c>
      <c r="J20" s="40">
        <f>'Backend Design '!D16</f>
        <v>415</v>
      </c>
    </row>
    <row r="21" spans="2:14" ht="18" customHeight="1" thickBot="1" x14ac:dyDescent="0.4">
      <c r="B21" s="24"/>
      <c r="C21" s="24" t="str">
        <f t="shared" si="2"/>
        <v>NA</v>
      </c>
      <c r="D21" s="24">
        <f>E21-'Backend Design '!$D$64</f>
        <v>-70</v>
      </c>
      <c r="E21" s="356">
        <v>100</v>
      </c>
      <c r="F21" s="38" t="s">
        <v>400</v>
      </c>
      <c r="H21" s="38"/>
      <c r="I21" s="38" t="s">
        <v>406</v>
      </c>
      <c r="J21" s="37">
        <f>VLOOKUP(J20,C64:G74,2,0)</f>
        <v>10.66</v>
      </c>
    </row>
    <row r="22" spans="2:14" ht="18" customHeight="1" thickBot="1" x14ac:dyDescent="0.4">
      <c r="B22" s="24"/>
      <c r="C22" s="24">
        <f t="shared" si="2"/>
        <v>30</v>
      </c>
      <c r="D22" s="26">
        <f>E22-'Backend Design '!$D$64</f>
        <v>30</v>
      </c>
      <c r="E22" s="357">
        <v>200</v>
      </c>
      <c r="F22" s="27" t="s">
        <v>400</v>
      </c>
      <c r="H22" s="38"/>
      <c r="I22" s="38" t="s">
        <v>407</v>
      </c>
      <c r="J22" s="37">
        <f>VLOOKUP(J20,C64:G74,5,0)</f>
        <v>40.9</v>
      </c>
    </row>
    <row r="23" spans="2:14" ht="18" customHeight="1" thickBot="1" x14ac:dyDescent="0.4">
      <c r="B23" s="24"/>
      <c r="C23" s="24">
        <f t="shared" si="2"/>
        <v>230</v>
      </c>
      <c r="D23" s="26">
        <f>E23-'Backend Design '!$D$64</f>
        <v>230</v>
      </c>
      <c r="E23" s="356">
        <v>400</v>
      </c>
      <c r="F23" s="38" t="s">
        <v>400</v>
      </c>
      <c r="H23" s="38"/>
      <c r="I23" s="38"/>
      <c r="J23" s="37"/>
    </row>
    <row r="24" spans="2:14" ht="18" customHeight="1" thickBot="1" x14ac:dyDescent="0.4">
      <c r="B24" s="38"/>
      <c r="C24" s="38" t="s">
        <v>401</v>
      </c>
      <c r="D24" s="41">
        <f>MIN(C16:C23)</f>
        <v>30</v>
      </c>
      <c r="H24" s="38"/>
      <c r="I24" s="38" t="s">
        <v>408</v>
      </c>
      <c r="J24" s="37">
        <f>ROUNDDOWN((3.6*50*J21)/(1*J22*16),0)</f>
        <v>2</v>
      </c>
      <c r="L24" s="18"/>
      <c r="M24" s="18"/>
      <c r="N24" s="18"/>
    </row>
    <row r="25" spans="2:14" ht="18" customHeight="1" thickBot="1" x14ac:dyDescent="0.4">
      <c r="B25" s="38"/>
      <c r="C25" s="38" t="s">
        <v>402</v>
      </c>
      <c r="D25" s="24">
        <f>VLOOKUP(D24,C16:E23,3,0)</f>
        <v>200</v>
      </c>
      <c r="H25" s="38"/>
      <c r="I25" s="38" t="s">
        <v>409</v>
      </c>
      <c r="J25" s="37">
        <f>IF('2. Inputs'!D26&lt;=35,2.5,(ROUNDDOWN((3.6*'2. Inputs'!D26*'Backend Values'!J21)/(1*16*'Backend Values'!J22),0)))</f>
        <v>5</v>
      </c>
    </row>
    <row r="26" spans="2:14" ht="18" customHeight="1" thickBot="1" x14ac:dyDescent="0.4">
      <c r="B26" s="127"/>
      <c r="C26" s="127"/>
      <c r="D26" s="128"/>
      <c r="H26" s="129"/>
      <c r="I26" s="129"/>
      <c r="J26" s="130"/>
    </row>
    <row r="27" spans="2:14" ht="25" customHeight="1" thickBot="1" x14ac:dyDescent="0.4">
      <c r="B27" s="35"/>
      <c r="C27" s="32" t="s">
        <v>410</v>
      </c>
      <c r="D27" s="33"/>
      <c r="E27" s="33"/>
      <c r="F27" s="33"/>
    </row>
    <row r="28" spans="2:14" ht="28.5" customHeight="1" thickBot="1" x14ac:dyDescent="0.4">
      <c r="B28" s="35"/>
      <c r="C28" s="10" t="s">
        <v>411</v>
      </c>
      <c r="D28" s="38">
        <f>'Backend Design '!D27</f>
        <v>41</v>
      </c>
      <c r="E28" s="10" t="s">
        <v>412</v>
      </c>
      <c r="F28" s="35" t="s">
        <v>413</v>
      </c>
      <c r="K28" s="2"/>
    </row>
    <row r="29" spans="2:14" ht="18" customHeight="1" thickBot="1" x14ac:dyDescent="0.4">
      <c r="B29" s="24"/>
      <c r="C29" s="37">
        <f>IF(D29&lt;1.8,"NA",D29)</f>
        <v>8.1999999999999993</v>
      </c>
      <c r="D29" s="36">
        <f>$D$28/E29</f>
        <v>8.1999999999999993</v>
      </c>
      <c r="E29" s="356">
        <v>5</v>
      </c>
      <c r="F29" s="37">
        <f>(E29*1000)/(1.732*400*0.9)</f>
        <v>8.0189889658711824</v>
      </c>
    </row>
    <row r="30" spans="2:14" ht="18" customHeight="1" thickBot="1" x14ac:dyDescent="0.4">
      <c r="B30" s="24"/>
      <c r="C30" s="37">
        <f t="shared" ref="C30:C40" si="3">IF(D30&lt;1.8,"NA",D30)</f>
        <v>6.833333333333333</v>
      </c>
      <c r="D30" s="36">
        <f t="shared" ref="D30:D40" si="4">$D$28/E30</f>
        <v>6.833333333333333</v>
      </c>
      <c r="E30" s="356">
        <v>6</v>
      </c>
      <c r="F30" s="37">
        <f t="shared" ref="F30:F40" si="5">(E30*1000)/(1.732*400*0.9)</f>
        <v>9.6227867590454199</v>
      </c>
    </row>
    <row r="31" spans="2:14" ht="18" customHeight="1" thickBot="1" x14ac:dyDescent="0.4">
      <c r="B31" s="24"/>
      <c r="C31" s="37">
        <f t="shared" si="3"/>
        <v>5.8571428571428568</v>
      </c>
      <c r="D31" s="36">
        <f t="shared" si="4"/>
        <v>5.8571428571428568</v>
      </c>
      <c r="E31" s="356">
        <v>7</v>
      </c>
      <c r="F31" s="37">
        <f t="shared" si="5"/>
        <v>11.226584552219656</v>
      </c>
    </row>
    <row r="32" spans="2:14" ht="18" customHeight="1" thickBot="1" x14ac:dyDescent="0.4">
      <c r="B32" s="24"/>
      <c r="C32" s="37">
        <f t="shared" si="3"/>
        <v>5.125</v>
      </c>
      <c r="D32" s="36">
        <f t="shared" si="4"/>
        <v>5.125</v>
      </c>
      <c r="E32" s="356">
        <v>8</v>
      </c>
      <c r="F32" s="37">
        <f t="shared" si="5"/>
        <v>12.830382345393893</v>
      </c>
    </row>
    <row r="33" spans="2:7" ht="18" customHeight="1" thickBot="1" x14ac:dyDescent="0.4">
      <c r="B33" s="24"/>
      <c r="C33" s="37">
        <f t="shared" si="3"/>
        <v>4.5555555555555554</v>
      </c>
      <c r="D33" s="36">
        <f t="shared" si="4"/>
        <v>4.5555555555555554</v>
      </c>
      <c r="E33" s="356">
        <v>9</v>
      </c>
      <c r="F33" s="37">
        <f t="shared" si="5"/>
        <v>14.434180138568129</v>
      </c>
    </row>
    <row r="34" spans="2:7" ht="18" customHeight="1" thickBot="1" x14ac:dyDescent="0.4">
      <c r="B34" s="24"/>
      <c r="C34" s="37">
        <f>IF(D34&lt;1.8,"NA",D34)</f>
        <v>4.0999999999999996</v>
      </c>
      <c r="D34" s="36">
        <f t="shared" si="4"/>
        <v>4.0999999999999996</v>
      </c>
      <c r="E34" s="356">
        <v>10</v>
      </c>
      <c r="F34" s="37">
        <f t="shared" si="5"/>
        <v>16.037977931742365</v>
      </c>
    </row>
    <row r="35" spans="2:7" ht="18" customHeight="1" thickBot="1" x14ac:dyDescent="0.4">
      <c r="B35" s="24"/>
      <c r="C35" s="37">
        <f>IF(D35&lt;1.8,"NA",D35)</f>
        <v>2.7333333333333334</v>
      </c>
      <c r="D35" s="36">
        <f t="shared" si="4"/>
        <v>2.7333333333333334</v>
      </c>
      <c r="E35" s="356">
        <v>15</v>
      </c>
      <c r="F35" s="37">
        <f t="shared" si="5"/>
        <v>24.056966897613549</v>
      </c>
    </row>
    <row r="36" spans="2:7" ht="18" customHeight="1" thickBot="1" x14ac:dyDescent="0.4">
      <c r="B36" s="24"/>
      <c r="C36" s="37">
        <f t="shared" si="3"/>
        <v>2.0499999999999998</v>
      </c>
      <c r="D36" s="36">
        <f t="shared" si="4"/>
        <v>2.0499999999999998</v>
      </c>
      <c r="E36" s="356">
        <v>20</v>
      </c>
      <c r="F36" s="37">
        <f t="shared" si="5"/>
        <v>32.075955863484729</v>
      </c>
    </row>
    <row r="37" spans="2:7" ht="18" customHeight="1" thickBot="1" x14ac:dyDescent="0.4">
      <c r="B37" s="24"/>
      <c r="C37" s="37" t="str">
        <f t="shared" si="3"/>
        <v>NA</v>
      </c>
      <c r="D37" s="36">
        <f t="shared" si="4"/>
        <v>1.64</v>
      </c>
      <c r="E37" s="356">
        <v>25</v>
      </c>
      <c r="F37" s="37">
        <f t="shared" si="5"/>
        <v>40.094944829355917</v>
      </c>
    </row>
    <row r="38" spans="2:7" ht="18" customHeight="1" thickBot="1" x14ac:dyDescent="0.4">
      <c r="B38" s="24"/>
      <c r="C38" s="37" t="str">
        <f t="shared" si="3"/>
        <v>NA</v>
      </c>
      <c r="D38" s="36">
        <f t="shared" si="4"/>
        <v>1.3666666666666667</v>
      </c>
      <c r="E38" s="356">
        <v>30</v>
      </c>
      <c r="F38" s="37">
        <f t="shared" si="5"/>
        <v>48.113933795227098</v>
      </c>
    </row>
    <row r="39" spans="2:7" ht="18" customHeight="1" thickBot="1" x14ac:dyDescent="0.4">
      <c r="B39" s="24"/>
      <c r="C39" s="37" t="str">
        <f t="shared" si="3"/>
        <v>NA</v>
      </c>
      <c r="D39" s="36">
        <f t="shared" si="4"/>
        <v>0.82</v>
      </c>
      <c r="E39" s="356">
        <v>50</v>
      </c>
      <c r="F39" s="37">
        <f t="shared" si="5"/>
        <v>80.189889658711834</v>
      </c>
    </row>
    <row r="40" spans="2:7" ht="18" customHeight="1" thickBot="1" x14ac:dyDescent="0.4">
      <c r="B40" s="24"/>
      <c r="C40" s="37" t="str">
        <f t="shared" si="3"/>
        <v>NA</v>
      </c>
      <c r="D40" s="36">
        <f t="shared" si="4"/>
        <v>0.41</v>
      </c>
      <c r="E40" s="356">
        <v>100</v>
      </c>
      <c r="F40" s="37">
        <f t="shared" si="5"/>
        <v>160.37977931742367</v>
      </c>
    </row>
    <row r="41" spans="2:7" ht="18" customHeight="1" thickBot="1" x14ac:dyDescent="0.4">
      <c r="B41" s="38"/>
      <c r="C41" s="38" t="s">
        <v>414</v>
      </c>
      <c r="D41" s="42">
        <f>MIN(C29:C40)</f>
        <v>2.0499999999999998</v>
      </c>
    </row>
    <row r="42" spans="2:7" ht="18" customHeight="1" thickBot="1" x14ac:dyDescent="0.4">
      <c r="B42" s="38"/>
      <c r="C42" s="38" t="s">
        <v>415</v>
      </c>
      <c r="D42" s="42">
        <f>ROUND(D41,0)</f>
        <v>2</v>
      </c>
    </row>
    <row r="43" spans="2:7" ht="18" customHeight="1" thickBot="1" x14ac:dyDescent="0.4">
      <c r="B43" s="38"/>
      <c r="C43" s="38" t="s">
        <v>416</v>
      </c>
      <c r="D43" s="23">
        <f>VLOOKUP(D41,C29:E40,3,0)</f>
        <v>20</v>
      </c>
    </row>
    <row r="44" spans="2:7" ht="18" customHeight="1" thickBot="1" x14ac:dyDescent="0.4">
      <c r="B44" s="38"/>
      <c r="C44" s="38" t="s">
        <v>417</v>
      </c>
      <c r="D44" s="23">
        <f>D43*D42</f>
        <v>40</v>
      </c>
    </row>
    <row r="45" spans="2:7" ht="18" customHeight="1" thickBot="1" x14ac:dyDescent="0.4"/>
    <row r="46" spans="2:7" ht="25" customHeight="1" thickBot="1" x14ac:dyDescent="0.4">
      <c r="B46" s="35"/>
      <c r="C46" s="32" t="s">
        <v>418</v>
      </c>
      <c r="D46" s="33"/>
      <c r="E46" s="33"/>
      <c r="F46" s="33"/>
      <c r="G46" s="33"/>
    </row>
    <row r="47" spans="2:7" ht="31" customHeight="1" thickBot="1" x14ac:dyDescent="0.4">
      <c r="B47" s="35"/>
      <c r="C47" s="10" t="s">
        <v>419</v>
      </c>
      <c r="D47" s="38">
        <f>'Backend Design '!D43/1000</f>
        <v>54.894089999999998</v>
      </c>
      <c r="E47" s="10" t="s">
        <v>412</v>
      </c>
      <c r="F47" s="10" t="s">
        <v>420</v>
      </c>
      <c r="G47" s="35" t="s">
        <v>413</v>
      </c>
    </row>
    <row r="48" spans="2:7" ht="18" customHeight="1" thickBot="1" x14ac:dyDescent="0.4">
      <c r="B48" s="24"/>
      <c r="C48" s="37">
        <f>IF(D48&lt;2.9,"NA",D48)</f>
        <v>16.634572727272726</v>
      </c>
      <c r="D48" s="36">
        <f>$D$47/E48</f>
        <v>16.634572727272726</v>
      </c>
      <c r="E48" s="356">
        <v>3.3</v>
      </c>
      <c r="F48" s="356">
        <v>48</v>
      </c>
      <c r="G48" s="37">
        <f>(E48*1000)/F48</f>
        <v>68.75</v>
      </c>
    </row>
    <row r="49" spans="2:7" ht="18" customHeight="1" thickBot="1" x14ac:dyDescent="0.4">
      <c r="B49" s="24"/>
      <c r="C49" s="37">
        <f>IF(D49&lt;2.9,"NA",D49)</f>
        <v>11.933497826086958</v>
      </c>
      <c r="D49" s="36">
        <f>$D$47/E49</f>
        <v>11.933497826086958</v>
      </c>
      <c r="E49" s="356">
        <v>4.5999999999999996</v>
      </c>
      <c r="F49" s="356">
        <v>48</v>
      </c>
      <c r="G49" s="37">
        <f t="shared" ref="G49:G50" si="6">(E49*1000)/F49</f>
        <v>95.833333333333329</v>
      </c>
    </row>
    <row r="50" spans="2:7" ht="18" customHeight="1" thickBot="1" x14ac:dyDescent="0.4">
      <c r="B50" s="24"/>
      <c r="C50" s="37">
        <f t="shared" ref="C50" si="7">IF(D50&lt;2.9,"NA",D50)</f>
        <v>9.1490150000000003</v>
      </c>
      <c r="D50" s="36">
        <f>$D$47/E50</f>
        <v>9.1490150000000003</v>
      </c>
      <c r="E50" s="356">
        <v>6</v>
      </c>
      <c r="F50" s="356">
        <v>48</v>
      </c>
      <c r="G50" s="37">
        <f t="shared" si="6"/>
        <v>125</v>
      </c>
    </row>
    <row r="51" spans="2:7" ht="18" customHeight="1" thickBot="1" x14ac:dyDescent="0.4">
      <c r="B51" s="38"/>
      <c r="C51" s="38" t="s">
        <v>414</v>
      </c>
      <c r="D51" s="42">
        <f>MIN(C48:C50)</f>
        <v>9.1490150000000003</v>
      </c>
    </row>
    <row r="52" spans="2:7" ht="18" customHeight="1" thickBot="1" x14ac:dyDescent="0.4">
      <c r="B52" s="38"/>
      <c r="C52" s="38" t="s">
        <v>415</v>
      </c>
      <c r="D52" s="42">
        <f>ROUND(D51/3,0)*3</f>
        <v>9</v>
      </c>
    </row>
    <row r="53" spans="2:7" ht="18" customHeight="1" thickBot="1" x14ac:dyDescent="0.4">
      <c r="B53" s="38"/>
      <c r="C53" s="38" t="s">
        <v>421</v>
      </c>
      <c r="D53" s="23">
        <f>VLOOKUP(D51,C48:E50,3,0)</f>
        <v>6</v>
      </c>
    </row>
    <row r="54" spans="2:7" ht="18" customHeight="1" thickBot="1" x14ac:dyDescent="0.4">
      <c r="B54" s="38"/>
      <c r="C54" s="38" t="s">
        <v>417</v>
      </c>
      <c r="D54" s="23">
        <f>D53*D52</f>
        <v>54</v>
      </c>
    </row>
    <row r="55" spans="2:7" ht="18" customHeight="1" thickBot="1" x14ac:dyDescent="0.4"/>
    <row r="56" spans="2:7" ht="25" customHeight="1" thickBot="1" x14ac:dyDescent="0.4">
      <c r="B56" s="35"/>
      <c r="C56" s="32" t="s">
        <v>288</v>
      </c>
      <c r="D56" s="33"/>
      <c r="E56" s="33"/>
      <c r="F56" s="33"/>
      <c r="G56" s="34"/>
    </row>
    <row r="57" spans="2:7" ht="31" customHeight="1" thickBot="1" x14ac:dyDescent="0.4">
      <c r="B57" s="38"/>
      <c r="C57" s="38" t="s">
        <v>422</v>
      </c>
      <c r="D57" s="37">
        <f>'Backend Design '!D43/1000</f>
        <v>54.894089999999998</v>
      </c>
      <c r="E57" s="486" t="s">
        <v>423</v>
      </c>
      <c r="F57" s="486"/>
      <c r="G57" s="37"/>
    </row>
    <row r="58" spans="2:7" ht="31" customHeight="1" thickBot="1" x14ac:dyDescent="0.4">
      <c r="B58" s="38"/>
      <c r="C58" s="38" t="s">
        <v>424</v>
      </c>
      <c r="D58" s="37">
        <v>4.5999999999999996</v>
      </c>
      <c r="E58" s="486" t="s">
        <v>425</v>
      </c>
      <c r="F58" s="486"/>
      <c r="G58" s="37"/>
    </row>
    <row r="59" spans="2:7" ht="31" customHeight="1" thickBot="1" x14ac:dyDescent="0.4">
      <c r="B59" s="38"/>
      <c r="C59" s="38" t="s">
        <v>426</v>
      </c>
      <c r="D59" s="37">
        <f>D57/D58</f>
        <v>11.933497826086958</v>
      </c>
      <c r="E59" s="486" t="s">
        <v>427</v>
      </c>
      <c r="F59" s="486"/>
      <c r="G59" s="37" t="s">
        <v>428</v>
      </c>
    </row>
    <row r="60" spans="2:7" ht="31" customHeight="1" thickBot="1" x14ac:dyDescent="0.4">
      <c r="B60" s="38"/>
      <c r="C60" s="38" t="s">
        <v>429</v>
      </c>
      <c r="D60" s="37">
        <f>ROUND(D59/3,0)</f>
        <v>4</v>
      </c>
      <c r="E60" s="486" t="s">
        <v>430</v>
      </c>
      <c r="F60" s="486"/>
      <c r="G60" s="37" t="s">
        <v>431</v>
      </c>
    </row>
    <row r="61" spans="2:7" ht="31" customHeight="1" thickBot="1" x14ac:dyDescent="0.4">
      <c r="B61" s="38"/>
      <c r="C61" s="38" t="s">
        <v>432</v>
      </c>
      <c r="D61" s="37">
        <f>D60*3</f>
        <v>12</v>
      </c>
      <c r="E61" s="486" t="s">
        <v>433</v>
      </c>
      <c r="F61" s="486"/>
      <c r="G61" s="37"/>
    </row>
    <row r="62" spans="2:7" ht="18" customHeight="1" thickBot="1" x14ac:dyDescent="0.4"/>
    <row r="63" spans="2:7" ht="25" customHeight="1" thickBot="1" x14ac:dyDescent="0.4">
      <c r="B63" s="35"/>
      <c r="C63" s="10" t="s">
        <v>434</v>
      </c>
      <c r="D63" s="35" t="s">
        <v>406</v>
      </c>
      <c r="E63" s="35" t="s">
        <v>435</v>
      </c>
      <c r="F63" s="35" t="s">
        <v>436</v>
      </c>
      <c r="G63" s="35" t="s">
        <v>437</v>
      </c>
    </row>
    <row r="64" spans="2:7" ht="18" customHeight="1" thickBot="1" x14ac:dyDescent="0.4">
      <c r="B64" s="38"/>
      <c r="C64" s="23">
        <v>310</v>
      </c>
      <c r="D64" s="23">
        <v>8.85</v>
      </c>
      <c r="E64" s="23">
        <v>8.3800000000000008</v>
      </c>
      <c r="F64" s="23">
        <v>45.5</v>
      </c>
      <c r="G64" s="23">
        <v>37</v>
      </c>
    </row>
    <row r="65" spans="2:12" ht="18" customHeight="1" thickBot="1" x14ac:dyDescent="0.4">
      <c r="B65" s="38"/>
      <c r="C65" s="23">
        <v>315</v>
      </c>
      <c r="D65" s="23">
        <v>9</v>
      </c>
      <c r="E65" s="23">
        <v>8.51</v>
      </c>
      <c r="F65" s="23">
        <v>45.6</v>
      </c>
      <c r="G65" s="23">
        <v>37.1</v>
      </c>
    </row>
    <row r="66" spans="2:12" ht="18" customHeight="1" thickBot="1" x14ac:dyDescent="0.4">
      <c r="B66" s="38"/>
      <c r="C66" s="23">
        <v>320</v>
      </c>
      <c r="D66" s="23">
        <v>9.1</v>
      </c>
      <c r="E66" s="23">
        <v>8.6300000000000008</v>
      </c>
      <c r="F66" s="23">
        <v>45.8</v>
      </c>
      <c r="G66" s="23">
        <v>37.1</v>
      </c>
    </row>
    <row r="67" spans="2:12" ht="18" customHeight="1" thickBot="1" x14ac:dyDescent="0.4">
      <c r="B67" s="38"/>
      <c r="C67" s="23">
        <v>325</v>
      </c>
      <c r="D67" s="23">
        <v>9.25</v>
      </c>
      <c r="E67" s="23">
        <v>8.76</v>
      </c>
      <c r="F67" s="23">
        <v>45.9</v>
      </c>
      <c r="G67" s="23">
        <v>37.200000000000003</v>
      </c>
    </row>
    <row r="68" spans="2:12" ht="18" customHeight="1" thickBot="1" x14ac:dyDescent="0.4">
      <c r="B68" s="38"/>
      <c r="C68" s="23">
        <v>370</v>
      </c>
      <c r="D68" s="23">
        <v>9.83</v>
      </c>
      <c r="E68" s="23">
        <v>9.33</v>
      </c>
      <c r="F68" s="23">
        <v>48.3</v>
      </c>
      <c r="G68" s="23">
        <v>39.700000000000003</v>
      </c>
    </row>
    <row r="69" spans="2:12" ht="18" customHeight="1" thickBot="1" x14ac:dyDescent="0.4">
      <c r="B69" s="38"/>
      <c r="C69" s="23">
        <v>390</v>
      </c>
      <c r="D69" s="23">
        <v>10.3</v>
      </c>
      <c r="E69" s="23">
        <v>9.75</v>
      </c>
      <c r="F69" s="23">
        <v>48.5</v>
      </c>
      <c r="G69" s="23">
        <v>40</v>
      </c>
    </row>
    <row r="70" spans="2:12" ht="18" customHeight="1" thickBot="1" x14ac:dyDescent="0.4">
      <c r="B70" s="38"/>
      <c r="C70" s="23">
        <v>395</v>
      </c>
      <c r="D70" s="23">
        <v>10.37</v>
      </c>
      <c r="E70" s="23">
        <v>9.86</v>
      </c>
      <c r="F70" s="23">
        <v>48.7</v>
      </c>
      <c r="G70" s="23">
        <v>40.1</v>
      </c>
    </row>
    <row r="71" spans="2:12" ht="18" customHeight="1" thickBot="1" x14ac:dyDescent="0.4">
      <c r="B71" s="38"/>
      <c r="C71" s="23">
        <v>400</v>
      </c>
      <c r="D71" s="23">
        <v>12.28</v>
      </c>
      <c r="E71" s="23">
        <v>11.7</v>
      </c>
      <c r="F71" s="23">
        <v>41.2</v>
      </c>
      <c r="G71" s="23">
        <v>34.200000000000003</v>
      </c>
    </row>
    <row r="72" spans="2:12" ht="18" customHeight="1" thickBot="1" x14ac:dyDescent="0.4">
      <c r="B72" s="38"/>
      <c r="C72" s="23">
        <v>405</v>
      </c>
      <c r="D72" s="23">
        <v>10.52</v>
      </c>
      <c r="E72" s="23">
        <v>10</v>
      </c>
      <c r="F72" s="23">
        <v>49.2</v>
      </c>
      <c r="G72" s="23">
        <v>40.5</v>
      </c>
    </row>
    <row r="73" spans="2:12" ht="18" customHeight="1" thickBot="1" x14ac:dyDescent="0.4">
      <c r="B73" s="38"/>
      <c r="C73" s="23">
        <v>410</v>
      </c>
      <c r="D73" s="23">
        <v>10.59</v>
      </c>
      <c r="E73" s="23">
        <v>10.07</v>
      </c>
      <c r="F73" s="23">
        <v>49.4</v>
      </c>
      <c r="G73" s="23">
        <v>40.700000000000003</v>
      </c>
    </row>
    <row r="74" spans="2:12" ht="18" customHeight="1" thickBot="1" x14ac:dyDescent="0.4">
      <c r="B74" s="38"/>
      <c r="C74" s="23">
        <v>415</v>
      </c>
      <c r="D74" s="23">
        <v>10.66</v>
      </c>
      <c r="E74" s="23">
        <v>10.15</v>
      </c>
      <c r="F74" s="23">
        <v>49.6</v>
      </c>
      <c r="G74" s="23">
        <v>40.9</v>
      </c>
    </row>
    <row r="75" spans="2:12" ht="18" customHeight="1" thickBot="1" x14ac:dyDescent="0.4"/>
    <row r="76" spans="2:12" ht="25" customHeight="1" x14ac:dyDescent="0.35">
      <c r="B76" s="90"/>
      <c r="C76" s="492" t="s">
        <v>438</v>
      </c>
      <c r="D76" s="493"/>
      <c r="E76" s="493"/>
      <c r="F76" s="493"/>
      <c r="G76" s="493"/>
      <c r="H76" s="493"/>
      <c r="I76" s="493"/>
      <c r="J76" s="493"/>
      <c r="K76" s="493"/>
      <c r="L76" s="494"/>
    </row>
    <row r="77" spans="2:12" ht="18" customHeight="1" x14ac:dyDescent="0.35">
      <c r="B77" s="78"/>
      <c r="L77" s="79"/>
    </row>
    <row r="78" spans="2:12" ht="18" customHeight="1" x14ac:dyDescent="0.35">
      <c r="B78" s="92"/>
      <c r="C78" s="495" t="s">
        <v>439</v>
      </c>
      <c r="D78" s="496"/>
      <c r="E78" s="496"/>
      <c r="F78" s="496"/>
      <c r="G78" s="496"/>
      <c r="H78" s="496"/>
      <c r="I78" s="496"/>
      <c r="J78" s="496"/>
      <c r="K78" s="496"/>
      <c r="L78" s="497"/>
    </row>
    <row r="79" spans="2:12" ht="18" customHeight="1" x14ac:dyDescent="0.35">
      <c r="B79" s="78"/>
      <c r="L79" s="79"/>
    </row>
    <row r="80" spans="2:12" ht="18" customHeight="1" thickBot="1" x14ac:dyDescent="0.4">
      <c r="B80" s="93"/>
      <c r="C80" s="490" t="s">
        <v>440</v>
      </c>
      <c r="D80" s="491"/>
      <c r="E80" s="491"/>
      <c r="F80" s="94"/>
      <c r="G80" s="81" t="s">
        <v>441</v>
      </c>
      <c r="H80" s="95" t="s">
        <v>442</v>
      </c>
      <c r="I80" s="82"/>
      <c r="J80" s="82"/>
      <c r="K80" s="82"/>
      <c r="L80" s="97"/>
    </row>
    <row r="81" spans="2:12" ht="18" customHeight="1" x14ac:dyDescent="0.35">
      <c r="B81" s="78"/>
      <c r="H81" s="95" t="s">
        <v>443</v>
      </c>
      <c r="I81" s="96"/>
      <c r="J81" s="83"/>
      <c r="K81" s="83"/>
      <c r="L81" s="97"/>
    </row>
    <row r="82" spans="2:12" ht="18" customHeight="1" x14ac:dyDescent="0.35">
      <c r="B82" s="78"/>
      <c r="H82" s="95" t="s">
        <v>444</v>
      </c>
      <c r="I82" s="96"/>
      <c r="J82" s="83"/>
      <c r="K82" s="83"/>
      <c r="L82" s="97"/>
    </row>
    <row r="83" spans="2:12" ht="18" customHeight="1" x14ac:dyDescent="0.35">
      <c r="B83" s="78"/>
      <c r="H83" s="95" t="s">
        <v>445</v>
      </c>
      <c r="I83" s="96"/>
      <c r="J83" s="82"/>
      <c r="K83" s="82"/>
      <c r="L83" s="97"/>
    </row>
    <row r="84" spans="2:12" ht="18" customHeight="1" x14ac:dyDescent="0.35">
      <c r="B84" s="78"/>
      <c r="H84" s="95" t="s">
        <v>446</v>
      </c>
      <c r="I84" s="96"/>
      <c r="J84" s="82"/>
      <c r="K84" s="82"/>
      <c r="L84" s="97"/>
    </row>
    <row r="85" spans="2:12" ht="18" customHeight="1" x14ac:dyDescent="0.35">
      <c r="B85" s="78"/>
      <c r="H85" s="95" t="s">
        <v>447</v>
      </c>
      <c r="I85" s="1"/>
      <c r="J85" s="1"/>
      <c r="K85" s="1"/>
      <c r="L85" s="97"/>
    </row>
    <row r="86" spans="2:12" ht="18" customHeight="1" x14ac:dyDescent="0.35">
      <c r="B86" s="78"/>
      <c r="L86" s="79"/>
    </row>
    <row r="87" spans="2:12" ht="18" customHeight="1" thickBot="1" x14ac:dyDescent="0.4">
      <c r="B87" s="91"/>
      <c r="C87" s="487" t="s">
        <v>448</v>
      </c>
      <c r="D87" s="488"/>
      <c r="E87" s="488"/>
      <c r="F87" s="488"/>
      <c r="G87" s="488"/>
      <c r="H87" s="488"/>
      <c r="I87" s="488"/>
      <c r="J87" s="488"/>
      <c r="K87" s="488"/>
      <c r="L87" s="489"/>
    </row>
    <row r="88" spans="2:12" ht="26.5" thickBot="1" x14ac:dyDescent="0.4">
      <c r="B88" s="80"/>
      <c r="C88" s="38" t="s">
        <v>195</v>
      </c>
      <c r="D88" s="38" t="s">
        <v>449</v>
      </c>
      <c r="E88" s="38" t="s">
        <v>450</v>
      </c>
      <c r="F88" s="38" t="s">
        <v>451</v>
      </c>
      <c r="G88" s="74" t="s">
        <v>452</v>
      </c>
      <c r="H88" s="75"/>
      <c r="I88" s="38" t="s">
        <v>453</v>
      </c>
      <c r="J88" s="38" t="s">
        <v>454</v>
      </c>
      <c r="K88" s="38" t="s">
        <v>455</v>
      </c>
      <c r="L88" s="84" t="s">
        <v>456</v>
      </c>
    </row>
    <row r="89" spans="2:12" ht="36" customHeight="1" thickBot="1" x14ac:dyDescent="0.4">
      <c r="B89" s="80"/>
      <c r="C89" s="356">
        <v>1</v>
      </c>
      <c r="D89" s="356" t="s">
        <v>307</v>
      </c>
      <c r="E89" s="24">
        <v>20</v>
      </c>
      <c r="F89" s="356">
        <v>2</v>
      </c>
      <c r="G89" s="76">
        <v>400</v>
      </c>
      <c r="H89" s="77"/>
      <c r="I89" s="24">
        <f>'Backend Design '!D63</f>
        <v>136</v>
      </c>
      <c r="J89" s="37">
        <f>E89*I89*12.9/(G89*(F89/100))*3</f>
        <v>13158</v>
      </c>
      <c r="K89" s="24">
        <f>ROUNDUP((J89*K92),0)</f>
        <v>7</v>
      </c>
      <c r="L89" s="85">
        <f>VLOOKUP(J17,I5:J15,2)</f>
        <v>10</v>
      </c>
    </row>
    <row r="90" spans="2:12" ht="18" customHeight="1" thickBot="1" x14ac:dyDescent="0.4">
      <c r="B90" s="78"/>
      <c r="L90" s="79"/>
    </row>
    <row r="91" spans="2:12" ht="18" customHeight="1" thickBot="1" x14ac:dyDescent="0.4">
      <c r="B91" s="78"/>
      <c r="C91" t="s">
        <v>457</v>
      </c>
      <c r="J91" s="38" t="s">
        <v>458</v>
      </c>
      <c r="K91" s="38" t="s">
        <v>459</v>
      </c>
      <c r="L91" s="79"/>
    </row>
    <row r="92" spans="2:12" ht="18" customHeight="1" thickBot="1" x14ac:dyDescent="0.4">
      <c r="B92" s="86"/>
      <c r="C92" s="87"/>
      <c r="D92" s="87"/>
      <c r="E92" s="87"/>
      <c r="F92" s="87"/>
      <c r="G92" s="87"/>
      <c r="H92" s="87"/>
      <c r="I92" s="87"/>
      <c r="J92" s="88">
        <v>1</v>
      </c>
      <c r="K92" s="88">
        <f>0.0005067075</f>
        <v>5.0670749999999997E-4</v>
      </c>
      <c r="L92" s="89"/>
    </row>
    <row r="93" spans="2:12" ht="18" customHeight="1" x14ac:dyDescent="0.35"/>
    <row r="94" spans="2:12" ht="18" customHeight="1" thickBot="1" x14ac:dyDescent="0.4"/>
    <row r="95" spans="2:12" ht="27" customHeight="1" thickBot="1" x14ac:dyDescent="0.4">
      <c r="B95" s="35"/>
      <c r="C95" s="10" t="s">
        <v>411</v>
      </c>
      <c r="D95" s="38">
        <f>'Backend Design '!D43/1000</f>
        <v>54.894089999999998</v>
      </c>
      <c r="E95" s="10" t="s">
        <v>412</v>
      </c>
      <c r="F95" s="35" t="s">
        <v>413</v>
      </c>
      <c r="H95" s="485" t="s">
        <v>352</v>
      </c>
      <c r="I95" s="485"/>
      <c r="J95" s="485"/>
      <c r="K95" s="485"/>
    </row>
    <row r="96" spans="2:12" ht="25" customHeight="1" thickBot="1" x14ac:dyDescent="0.4">
      <c r="B96" s="24"/>
      <c r="C96" s="37">
        <f>IF(D96&lt;1.8,"NA",D96)</f>
        <v>12.475929545454544</v>
      </c>
      <c r="D96" s="36">
        <f>$D$95/E96</f>
        <v>12.475929545454544</v>
      </c>
      <c r="E96" s="356">
        <v>4.4000000000000004</v>
      </c>
      <c r="F96" s="37">
        <f>(E96*1000)/(1.732*400)</f>
        <v>6.3510392609699773</v>
      </c>
      <c r="H96" s="35"/>
      <c r="I96" s="10" t="s">
        <v>460</v>
      </c>
      <c r="J96" s="10" t="s">
        <v>461</v>
      </c>
      <c r="K96" s="10" t="s">
        <v>462</v>
      </c>
    </row>
    <row r="97" spans="2:11" ht="18" customHeight="1" thickBot="1" x14ac:dyDescent="0.4">
      <c r="B97" s="24"/>
      <c r="C97" s="37">
        <f t="shared" ref="C97:C107" si="8">IF(D97&lt;1.8,"NA",D97)</f>
        <v>6.833333333333333</v>
      </c>
      <c r="D97" s="36">
        <f t="shared" ref="D97:D107" si="9">$D$28/E97</f>
        <v>6.833333333333333</v>
      </c>
      <c r="E97" s="356">
        <v>6</v>
      </c>
      <c r="F97" s="37">
        <f t="shared" ref="F97:F107" si="10">(E97*1000)/(1.732*400)</f>
        <v>8.6605080831408774</v>
      </c>
      <c r="H97" s="23"/>
      <c r="I97" s="23">
        <v>210</v>
      </c>
      <c r="J97" s="23">
        <v>75</v>
      </c>
      <c r="K97" s="116">
        <f t="shared" ref="K97:K106" si="11">(J97/I97)*100</f>
        <v>35.714285714285715</v>
      </c>
    </row>
    <row r="98" spans="2:11" ht="18" customHeight="1" thickBot="1" x14ac:dyDescent="0.4">
      <c r="B98" s="24"/>
      <c r="C98" s="37">
        <f t="shared" si="8"/>
        <v>5.125</v>
      </c>
      <c r="D98" s="36">
        <f t="shared" si="9"/>
        <v>5.125</v>
      </c>
      <c r="E98" s="356">
        <v>8</v>
      </c>
      <c r="F98" s="37">
        <f t="shared" si="10"/>
        <v>11.547344110854505</v>
      </c>
      <c r="H98" s="23"/>
      <c r="I98" s="23">
        <v>105</v>
      </c>
      <c r="J98" s="23">
        <v>40</v>
      </c>
      <c r="K98" s="116">
        <f t="shared" si="11"/>
        <v>38.095238095238095</v>
      </c>
    </row>
    <row r="99" spans="2:11" ht="18" customHeight="1" thickBot="1" x14ac:dyDescent="0.4">
      <c r="B99" s="24"/>
      <c r="C99" s="37">
        <f t="shared" si="8"/>
        <v>5.125</v>
      </c>
      <c r="D99" s="36">
        <f t="shared" si="9"/>
        <v>5.125</v>
      </c>
      <c r="E99" s="356">
        <v>8</v>
      </c>
      <c r="F99" s="37">
        <f t="shared" si="10"/>
        <v>11.547344110854505</v>
      </c>
      <c r="H99" s="23"/>
      <c r="I99" s="23">
        <v>10</v>
      </c>
      <c r="J99" s="23">
        <v>5</v>
      </c>
      <c r="K99" s="116">
        <f t="shared" si="11"/>
        <v>50</v>
      </c>
    </row>
    <row r="100" spans="2:11" ht="18" customHeight="1" thickBot="1" x14ac:dyDescent="0.4">
      <c r="B100" s="24"/>
      <c r="C100" s="37">
        <f t="shared" si="8"/>
        <v>4.5555555555555554</v>
      </c>
      <c r="D100" s="36">
        <f t="shared" si="9"/>
        <v>4.5555555555555554</v>
      </c>
      <c r="E100" s="356">
        <v>9</v>
      </c>
      <c r="F100" s="37">
        <f t="shared" si="10"/>
        <v>12.990762124711317</v>
      </c>
      <c r="H100" s="23"/>
      <c r="I100" s="23">
        <v>275</v>
      </c>
      <c r="J100" s="23">
        <v>75</v>
      </c>
      <c r="K100" s="116">
        <f t="shared" si="11"/>
        <v>27.27272727272727</v>
      </c>
    </row>
    <row r="101" spans="2:11" ht="18" customHeight="1" thickBot="1" x14ac:dyDescent="0.4">
      <c r="B101" s="24"/>
      <c r="C101" s="37">
        <f t="shared" si="8"/>
        <v>4.0999999999999996</v>
      </c>
      <c r="D101" s="36">
        <f t="shared" si="9"/>
        <v>4.0999999999999996</v>
      </c>
      <c r="E101" s="356">
        <v>10</v>
      </c>
      <c r="F101" s="37">
        <f t="shared" si="10"/>
        <v>14.434180138568131</v>
      </c>
      <c r="H101" s="23"/>
      <c r="I101" s="23">
        <v>90</v>
      </c>
      <c r="J101" s="23">
        <v>40</v>
      </c>
      <c r="K101" s="116">
        <f t="shared" si="11"/>
        <v>44.444444444444443</v>
      </c>
    </row>
    <row r="102" spans="2:11" ht="18" customHeight="1" thickBot="1" x14ac:dyDescent="0.4">
      <c r="B102" s="24"/>
      <c r="C102" s="37">
        <f t="shared" si="8"/>
        <v>2.7333333333333334</v>
      </c>
      <c r="D102" s="36">
        <f t="shared" si="9"/>
        <v>2.7333333333333334</v>
      </c>
      <c r="E102" s="356">
        <v>15</v>
      </c>
      <c r="F102" s="37">
        <f t="shared" si="10"/>
        <v>21.651270207852196</v>
      </c>
      <c r="H102" s="23"/>
      <c r="I102" s="23">
        <v>55</v>
      </c>
      <c r="J102" s="23">
        <v>25</v>
      </c>
      <c r="K102" s="116">
        <f t="shared" si="11"/>
        <v>45.454545454545453</v>
      </c>
    </row>
    <row r="103" spans="2:11" ht="18" customHeight="1" thickBot="1" x14ac:dyDescent="0.4">
      <c r="B103" s="24"/>
      <c r="C103" s="37">
        <f t="shared" si="8"/>
        <v>2.0499999999999998</v>
      </c>
      <c r="D103" s="36">
        <f t="shared" si="9"/>
        <v>2.0499999999999998</v>
      </c>
      <c r="E103" s="356">
        <v>20</v>
      </c>
      <c r="F103" s="37">
        <f t="shared" si="10"/>
        <v>28.868360277136262</v>
      </c>
      <c r="H103" s="23"/>
      <c r="I103" s="23">
        <v>280</v>
      </c>
      <c r="J103" s="23">
        <v>100</v>
      </c>
      <c r="K103" s="116">
        <f t="shared" si="11"/>
        <v>35.714285714285715</v>
      </c>
    </row>
    <row r="104" spans="2:11" ht="18" customHeight="1" thickBot="1" x14ac:dyDescent="0.4">
      <c r="B104" s="24"/>
      <c r="C104" s="37" t="str">
        <f t="shared" si="8"/>
        <v>NA</v>
      </c>
      <c r="D104" s="36">
        <f t="shared" si="9"/>
        <v>1.64</v>
      </c>
      <c r="E104" s="356">
        <v>25</v>
      </c>
      <c r="F104" s="37">
        <f t="shared" si="10"/>
        <v>36.085450346420323</v>
      </c>
      <c r="H104" s="23"/>
      <c r="I104" s="23">
        <v>290</v>
      </c>
      <c r="J104" s="23">
        <v>100</v>
      </c>
      <c r="K104" s="116">
        <f t="shared" si="11"/>
        <v>34.482758620689658</v>
      </c>
    </row>
    <row r="105" spans="2:11" ht="18" customHeight="1" thickBot="1" x14ac:dyDescent="0.4">
      <c r="B105" s="24"/>
      <c r="C105" s="37" t="str">
        <f t="shared" si="8"/>
        <v>NA</v>
      </c>
      <c r="D105" s="36">
        <f t="shared" si="9"/>
        <v>1.3666666666666667</v>
      </c>
      <c r="E105" s="356">
        <v>30</v>
      </c>
      <c r="F105" s="37">
        <f t="shared" si="10"/>
        <v>43.302540415704392</v>
      </c>
      <c r="H105" s="23"/>
      <c r="I105" s="23">
        <v>30</v>
      </c>
      <c r="J105" s="23">
        <v>10</v>
      </c>
      <c r="K105" s="116">
        <f t="shared" si="11"/>
        <v>33.333333333333329</v>
      </c>
    </row>
    <row r="106" spans="2:11" ht="18" customHeight="1" thickBot="1" x14ac:dyDescent="0.4">
      <c r="B106" s="24"/>
      <c r="C106" s="37" t="str">
        <f t="shared" si="8"/>
        <v>NA</v>
      </c>
      <c r="D106" s="36">
        <f t="shared" si="9"/>
        <v>0.82</v>
      </c>
      <c r="E106" s="356">
        <v>50</v>
      </c>
      <c r="F106" s="37">
        <f t="shared" si="10"/>
        <v>72.170900692840647</v>
      </c>
      <c r="H106" s="23"/>
      <c r="I106" s="25">
        <v>16</v>
      </c>
      <c r="J106" s="25">
        <v>5</v>
      </c>
      <c r="K106" s="116">
        <f t="shared" si="11"/>
        <v>31.25</v>
      </c>
    </row>
    <row r="107" spans="2:11" ht="18" customHeight="1" thickBot="1" x14ac:dyDescent="0.4">
      <c r="B107" s="24"/>
      <c r="C107" s="37" t="str">
        <f t="shared" si="8"/>
        <v>NA</v>
      </c>
      <c r="D107" s="36">
        <f t="shared" si="9"/>
        <v>0.41</v>
      </c>
      <c r="E107" s="356">
        <v>100</v>
      </c>
      <c r="F107" s="37">
        <f t="shared" si="10"/>
        <v>144.34180138568129</v>
      </c>
      <c r="H107" s="115"/>
      <c r="I107" s="20" t="s">
        <v>463</v>
      </c>
      <c r="J107" s="126"/>
      <c r="K107" s="115">
        <f>AVERAGE(K97:K106)</f>
        <v>37.576161864954962</v>
      </c>
    </row>
    <row r="108" spans="2:11" ht="18" customHeight="1" thickBot="1" x14ac:dyDescent="0.4">
      <c r="B108" s="38"/>
      <c r="C108" s="38" t="s">
        <v>414</v>
      </c>
      <c r="D108" s="42">
        <f>MIN(C96:C107)</f>
        <v>2.0499999999999998</v>
      </c>
    </row>
    <row r="109" spans="2:11" ht="18" customHeight="1" thickBot="1" x14ac:dyDescent="0.4">
      <c r="B109" s="38"/>
      <c r="C109" s="38" t="s">
        <v>415</v>
      </c>
      <c r="D109" s="42">
        <f>ROUND(D108,0)</f>
        <v>2</v>
      </c>
    </row>
    <row r="110" spans="2:11" ht="18" customHeight="1" thickBot="1" x14ac:dyDescent="0.4">
      <c r="B110" s="38"/>
      <c r="C110" s="38" t="s">
        <v>416</v>
      </c>
      <c r="D110" s="23">
        <f>VLOOKUP(D108,C96:E107,3,0)</f>
        <v>20</v>
      </c>
    </row>
    <row r="111" spans="2:11" ht="18" customHeight="1" thickBot="1" x14ac:dyDescent="0.4">
      <c r="B111" s="38"/>
      <c r="C111" s="38" t="s">
        <v>417</v>
      </c>
      <c r="D111" s="23">
        <f>D110*D109</f>
        <v>40</v>
      </c>
    </row>
  </sheetData>
  <sheetProtection algorithmName="SHA-512" hashValue="VDJ4bVxbtnQVnKbvOQ3pVdTS6dQz8XDH7O/6Gzh8motNiOWhrFZvmgpPq7CcqM8cUhVvARWTi8Nx+VH0MbeKCg==" saltValue="RFbNOGZnqQqBIJRDk/Wm3A==" spinCount="100000" sheet="1" formatCells="0"/>
  <mergeCells count="15">
    <mergeCell ref="H95:K95"/>
    <mergeCell ref="E57:F57"/>
    <mergeCell ref="E58:F58"/>
    <mergeCell ref="E59:F59"/>
    <mergeCell ref="E60:F60"/>
    <mergeCell ref="E61:F61"/>
    <mergeCell ref="C87:L87"/>
    <mergeCell ref="C80:E80"/>
    <mergeCell ref="C76:L76"/>
    <mergeCell ref="C78:L78"/>
    <mergeCell ref="B2:L2"/>
    <mergeCell ref="C15:D15"/>
    <mergeCell ref="C4:D4"/>
    <mergeCell ref="E15:F15"/>
    <mergeCell ref="E4:F4"/>
  </mergeCells>
  <dataValidations disablePrompts="1" count="1">
    <dataValidation type="decimal" operator="greaterThanOrEqual" allowBlank="1" showInputMessage="1" showErrorMessage="1" sqref="E5:E11 J5:J16 E16:E23 E29:E40 E48:F50 E96:E107 F89 C89" xr:uid="{CF2694DF-B717-45C9-AE9F-A75B3E7DFCB9}">
      <formula1>0</formula1>
    </dataValidation>
  </dataValidations>
  <pageMargins left="0.7" right="0.7" top="0.75" bottom="0.75" header="0.3" footer="0.3"/>
  <pageSetup scale="43"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4F916-9BDD-450E-8D27-F6706C89E23E}">
  <sheetPr codeName="Sheet4">
    <tabColor theme="1" tint="0.34998626667073579"/>
  </sheetPr>
  <dimension ref="A2:AC55"/>
  <sheetViews>
    <sheetView showGridLines="0" zoomScale="90" zoomScaleNormal="90" workbookViewId="0">
      <selection activeCell="A3" sqref="A3"/>
    </sheetView>
  </sheetViews>
  <sheetFormatPr defaultColWidth="8.81640625" defaultRowHeight="14.5" x14ac:dyDescent="0.35"/>
  <cols>
    <col min="1" max="1" width="6.453125" style="289" customWidth="1"/>
    <col min="2" max="6" width="10.453125" style="289" customWidth="1"/>
    <col min="7" max="7" width="12.36328125" style="289" customWidth="1"/>
    <col min="8" max="13" width="10.453125" style="289" customWidth="1"/>
    <col min="14" max="14" width="13.1796875" style="289" customWidth="1"/>
    <col min="15" max="20" width="10.453125" style="289" customWidth="1"/>
    <col min="21" max="21" width="13.36328125" style="289" customWidth="1"/>
    <col min="22" max="27" width="10.453125" style="289" customWidth="1"/>
    <col min="28" max="28" width="11.453125" style="289" customWidth="1"/>
    <col min="29" max="16384" width="8.81640625" style="289"/>
  </cols>
  <sheetData>
    <row r="2" spans="2:29" s="358" customFormat="1" ht="35" customHeight="1" x14ac:dyDescent="0.35">
      <c r="B2" s="461" t="s">
        <v>572</v>
      </c>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359"/>
    </row>
    <row r="4" spans="2:29" x14ac:dyDescent="0.35">
      <c r="B4" s="292" t="s">
        <v>532</v>
      </c>
      <c r="C4" s="293"/>
      <c r="D4" s="293"/>
      <c r="E4" s="294" t="s">
        <v>533</v>
      </c>
      <c r="F4" s="293"/>
      <c r="G4" s="293"/>
      <c r="I4" s="292" t="s">
        <v>534</v>
      </c>
      <c r="J4" s="292"/>
      <c r="K4" s="292"/>
      <c r="L4" s="294" t="s">
        <v>535</v>
      </c>
      <c r="M4" s="292"/>
      <c r="N4" s="292"/>
      <c r="O4" s="290"/>
      <c r="P4" s="292" t="s">
        <v>536</v>
      </c>
      <c r="Q4"/>
      <c r="R4"/>
      <c r="S4" t="s">
        <v>537</v>
      </c>
      <c r="T4"/>
      <c r="U4"/>
      <c r="W4" s="297" t="s">
        <v>538</v>
      </c>
      <c r="X4"/>
      <c r="Y4"/>
      <c r="Z4" t="s">
        <v>539</v>
      </c>
      <c r="AA4"/>
      <c r="AB4"/>
    </row>
    <row r="5" spans="2:29" x14ac:dyDescent="0.35">
      <c r="B5" s="294" t="s">
        <v>540</v>
      </c>
      <c r="C5" s="6"/>
      <c r="D5" s="6"/>
      <c r="E5" s="6"/>
      <c r="F5" s="6"/>
      <c r="G5" s="6"/>
      <c r="I5" s="294" t="s">
        <v>541</v>
      </c>
      <c r="J5" s="294"/>
      <c r="K5" s="294"/>
      <c r="L5" s="294"/>
      <c r="M5" s="294"/>
      <c r="N5" s="294"/>
      <c r="O5" s="291"/>
      <c r="P5" s="294" t="s">
        <v>542</v>
      </c>
      <c r="Q5"/>
      <c r="R5"/>
      <c r="S5"/>
      <c r="T5"/>
      <c r="U5"/>
      <c r="W5" s="298" t="s">
        <v>543</v>
      </c>
      <c r="X5"/>
      <c r="Y5"/>
      <c r="Z5"/>
      <c r="AA5"/>
      <c r="AB5"/>
    </row>
    <row r="6" spans="2:29" x14ac:dyDescent="0.35">
      <c r="B6"/>
      <c r="C6"/>
      <c r="D6"/>
      <c r="E6"/>
      <c r="F6"/>
      <c r="G6"/>
      <c r="I6"/>
      <c r="J6"/>
      <c r="K6"/>
      <c r="L6"/>
      <c r="M6"/>
      <c r="N6"/>
      <c r="P6"/>
      <c r="Q6"/>
      <c r="R6"/>
      <c r="S6"/>
      <c r="T6"/>
      <c r="U6"/>
      <c r="W6"/>
      <c r="X6"/>
      <c r="Y6"/>
      <c r="Z6"/>
      <c r="AA6"/>
      <c r="AB6"/>
    </row>
    <row r="7" spans="2:29" x14ac:dyDescent="0.35">
      <c r="B7"/>
      <c r="C7"/>
      <c r="D7"/>
      <c r="E7"/>
      <c r="F7"/>
      <c r="G7"/>
      <c r="I7"/>
      <c r="J7"/>
      <c r="K7"/>
      <c r="L7"/>
      <c r="M7"/>
      <c r="N7"/>
      <c r="P7"/>
      <c r="Q7"/>
      <c r="R7"/>
      <c r="S7"/>
      <c r="T7"/>
      <c r="U7"/>
      <c r="W7"/>
      <c r="X7"/>
      <c r="Y7"/>
      <c r="Z7"/>
      <c r="AA7"/>
      <c r="AB7"/>
    </row>
    <row r="8" spans="2:29" x14ac:dyDescent="0.35">
      <c r="B8"/>
      <c r="C8"/>
      <c r="D8"/>
      <c r="E8"/>
      <c r="F8"/>
      <c r="G8"/>
      <c r="I8"/>
      <c r="J8"/>
      <c r="K8"/>
      <c r="L8"/>
      <c r="M8"/>
      <c r="N8"/>
      <c r="P8"/>
      <c r="Q8"/>
      <c r="R8"/>
      <c r="S8"/>
      <c r="T8"/>
      <c r="U8"/>
      <c r="W8"/>
      <c r="X8"/>
      <c r="Y8"/>
      <c r="Z8"/>
      <c r="AA8"/>
      <c r="AB8"/>
    </row>
    <row r="9" spans="2:29" x14ac:dyDescent="0.35">
      <c r="B9"/>
      <c r="C9"/>
      <c r="D9"/>
      <c r="E9"/>
      <c r="F9"/>
      <c r="G9"/>
      <c r="I9"/>
      <c r="J9"/>
      <c r="K9"/>
      <c r="L9"/>
      <c r="M9"/>
      <c r="N9"/>
      <c r="P9"/>
      <c r="Q9"/>
      <c r="R9"/>
      <c r="S9"/>
      <c r="T9"/>
      <c r="U9"/>
      <c r="W9"/>
      <c r="X9"/>
      <c r="Y9"/>
      <c r="Z9"/>
      <c r="AA9"/>
      <c r="AB9"/>
    </row>
    <row r="10" spans="2:29" x14ac:dyDescent="0.35">
      <c r="B10"/>
      <c r="C10"/>
      <c r="D10"/>
      <c r="E10"/>
      <c r="F10"/>
      <c r="G10"/>
      <c r="I10"/>
      <c r="J10"/>
      <c r="K10"/>
      <c r="L10"/>
      <c r="M10"/>
      <c r="N10"/>
      <c r="P10"/>
      <c r="Q10"/>
      <c r="R10"/>
      <c r="S10"/>
      <c r="T10"/>
      <c r="U10"/>
      <c r="W10"/>
      <c r="X10"/>
      <c r="Y10"/>
      <c r="Z10"/>
      <c r="AA10"/>
      <c r="AB10"/>
    </row>
    <row r="11" spans="2:29" x14ac:dyDescent="0.35">
      <c r="B11"/>
      <c r="C11"/>
      <c r="D11"/>
      <c r="E11"/>
      <c r="F11"/>
      <c r="G11"/>
      <c r="I11"/>
      <c r="J11"/>
      <c r="K11"/>
      <c r="L11"/>
      <c r="M11"/>
      <c r="N11"/>
      <c r="P11"/>
      <c r="Q11"/>
      <c r="R11"/>
      <c r="S11"/>
      <c r="T11"/>
      <c r="U11"/>
      <c r="W11"/>
      <c r="X11"/>
      <c r="Y11"/>
      <c r="Z11"/>
      <c r="AA11"/>
      <c r="AB11"/>
    </row>
    <row r="12" spans="2:29" x14ac:dyDescent="0.35">
      <c r="B12"/>
      <c r="C12"/>
      <c r="D12"/>
      <c r="E12"/>
      <c r="F12"/>
      <c r="G12"/>
      <c r="I12"/>
      <c r="J12"/>
      <c r="K12"/>
      <c r="L12"/>
      <c r="M12"/>
      <c r="N12"/>
      <c r="P12"/>
      <c r="Q12"/>
      <c r="R12"/>
      <c r="S12"/>
      <c r="T12"/>
      <c r="U12"/>
      <c r="W12"/>
      <c r="X12"/>
      <c r="Y12"/>
      <c r="Z12"/>
      <c r="AA12"/>
      <c r="AB12"/>
    </row>
    <row r="13" spans="2:29" x14ac:dyDescent="0.35">
      <c r="B13"/>
      <c r="C13"/>
      <c r="D13"/>
      <c r="E13"/>
      <c r="F13"/>
      <c r="G13"/>
      <c r="I13"/>
      <c r="J13"/>
      <c r="K13"/>
      <c r="L13"/>
      <c r="M13"/>
      <c r="N13"/>
      <c r="P13"/>
      <c r="Q13"/>
      <c r="R13"/>
      <c r="S13"/>
      <c r="T13"/>
      <c r="U13"/>
      <c r="W13"/>
      <c r="X13"/>
      <c r="Y13"/>
      <c r="Z13"/>
      <c r="AA13"/>
      <c r="AB13"/>
    </row>
    <row r="14" spans="2:29" x14ac:dyDescent="0.35">
      <c r="B14"/>
      <c r="C14"/>
      <c r="D14"/>
      <c r="E14"/>
      <c r="F14"/>
      <c r="G14"/>
      <c r="I14"/>
      <c r="J14"/>
      <c r="K14"/>
      <c r="L14"/>
      <c r="M14"/>
      <c r="N14"/>
      <c r="P14"/>
      <c r="Q14"/>
      <c r="R14"/>
      <c r="S14"/>
      <c r="T14"/>
      <c r="U14"/>
      <c r="W14"/>
      <c r="X14"/>
      <c r="Y14"/>
      <c r="Z14"/>
      <c r="AA14"/>
      <c r="AB14"/>
    </row>
    <row r="15" spans="2:29" x14ac:dyDescent="0.35">
      <c r="B15"/>
      <c r="C15"/>
      <c r="D15"/>
      <c r="E15"/>
      <c r="F15"/>
      <c r="G15"/>
      <c r="I15"/>
      <c r="J15"/>
      <c r="K15"/>
      <c r="L15"/>
      <c r="M15"/>
      <c r="N15"/>
      <c r="P15"/>
      <c r="Q15"/>
      <c r="R15"/>
      <c r="S15"/>
      <c r="T15"/>
      <c r="U15"/>
      <c r="W15"/>
      <c r="X15"/>
      <c r="Y15"/>
      <c r="Z15"/>
      <c r="AA15"/>
      <c r="AB15"/>
    </row>
    <row r="16" spans="2:29" x14ac:dyDescent="0.35">
      <c r="B16"/>
      <c r="C16"/>
      <c r="D16"/>
      <c r="E16"/>
      <c r="F16"/>
      <c r="G16"/>
      <c r="I16"/>
      <c r="J16"/>
      <c r="K16"/>
      <c r="L16"/>
      <c r="M16"/>
      <c r="N16"/>
      <c r="P16"/>
      <c r="Q16"/>
      <c r="R16"/>
      <c r="S16"/>
      <c r="T16"/>
      <c r="U16"/>
      <c r="W16"/>
      <c r="X16"/>
      <c r="Y16"/>
      <c r="Z16"/>
      <c r="AA16"/>
      <c r="AB16"/>
    </row>
    <row r="17" spans="1:28" x14ac:dyDescent="0.35">
      <c r="B17"/>
      <c r="C17"/>
      <c r="D17"/>
      <c r="E17"/>
      <c r="F17"/>
      <c r="G17"/>
      <c r="I17"/>
      <c r="J17"/>
      <c r="K17"/>
      <c r="L17"/>
      <c r="M17"/>
      <c r="N17"/>
      <c r="P17"/>
      <c r="Q17"/>
      <c r="R17"/>
      <c r="S17"/>
      <c r="T17"/>
      <c r="U17"/>
      <c r="W17"/>
      <c r="X17"/>
      <c r="Y17"/>
      <c r="Z17"/>
      <c r="AA17"/>
      <c r="AB17"/>
    </row>
    <row r="18" spans="1:28" x14ac:dyDescent="0.35">
      <c r="B18"/>
      <c r="C18"/>
      <c r="D18"/>
      <c r="E18"/>
      <c r="F18"/>
      <c r="G18"/>
      <c r="I18"/>
      <c r="J18"/>
      <c r="K18"/>
      <c r="L18"/>
      <c r="M18"/>
      <c r="N18"/>
      <c r="P18"/>
      <c r="Q18"/>
      <c r="R18"/>
      <c r="S18"/>
      <c r="T18"/>
      <c r="U18"/>
      <c r="W18"/>
      <c r="X18"/>
      <c r="Y18"/>
      <c r="Z18"/>
      <c r="AA18"/>
      <c r="AB18"/>
    </row>
    <row r="19" spans="1:28" x14ac:dyDescent="0.35">
      <c r="B19"/>
      <c r="C19"/>
      <c r="D19"/>
      <c r="E19"/>
      <c r="F19"/>
      <c r="G19"/>
      <c r="I19"/>
      <c r="J19"/>
      <c r="K19"/>
      <c r="L19"/>
      <c r="M19"/>
      <c r="N19"/>
      <c r="P19"/>
      <c r="Q19"/>
      <c r="R19"/>
      <c r="S19"/>
      <c r="T19"/>
      <c r="U19"/>
      <c r="W19"/>
      <c r="X19"/>
      <c r="Y19"/>
      <c r="Z19"/>
      <c r="AA19"/>
      <c r="AB19"/>
    </row>
    <row r="20" spans="1:28" x14ac:dyDescent="0.35">
      <c r="B20"/>
      <c r="C20"/>
      <c r="D20"/>
      <c r="E20"/>
      <c r="F20"/>
      <c r="G20"/>
      <c r="I20"/>
      <c r="J20"/>
      <c r="K20"/>
      <c r="L20"/>
      <c r="M20"/>
      <c r="N20"/>
      <c r="P20"/>
      <c r="Q20"/>
      <c r="R20"/>
      <c r="S20"/>
      <c r="T20"/>
      <c r="U20"/>
      <c r="W20"/>
      <c r="X20"/>
      <c r="Y20"/>
      <c r="Z20"/>
      <c r="AA20"/>
      <c r="AB20"/>
    </row>
    <row r="21" spans="1:28" x14ac:dyDescent="0.35">
      <c r="B21"/>
      <c r="C21"/>
      <c r="D21"/>
      <c r="E21"/>
      <c r="F21"/>
      <c r="G21"/>
      <c r="I21"/>
      <c r="J21"/>
      <c r="K21"/>
      <c r="L21"/>
      <c r="M21"/>
      <c r="N21"/>
      <c r="P21"/>
      <c r="Q21"/>
      <c r="R21"/>
      <c r="S21"/>
      <c r="T21"/>
      <c r="U21"/>
      <c r="W21"/>
      <c r="X21"/>
      <c r="Y21"/>
      <c r="Z21"/>
      <c r="AA21"/>
      <c r="AB21"/>
    </row>
    <row r="24" spans="1:28" x14ac:dyDescent="0.35">
      <c r="A24" s="295"/>
      <c r="B24" s="292" t="s">
        <v>544</v>
      </c>
      <c r="C24" s="293"/>
      <c r="D24" s="293"/>
      <c r="E24" s="294" t="s">
        <v>545</v>
      </c>
      <c r="F24" s="293"/>
      <c r="G24" s="293"/>
      <c r="I24" s="292" t="s">
        <v>546</v>
      </c>
      <c r="J24"/>
      <c r="K24" s="164"/>
      <c r="L24" t="s">
        <v>547</v>
      </c>
      <c r="M24"/>
      <c r="N24"/>
      <c r="P24" s="297" t="s">
        <v>548</v>
      </c>
      <c r="Q24" s="164"/>
      <c r="R24" s="164"/>
      <c r="S24" s="164" t="s">
        <v>549</v>
      </c>
      <c r="T24" s="164"/>
      <c r="U24" s="164"/>
      <c r="W24" s="297" t="s">
        <v>550</v>
      </c>
      <c r="X24" s="164"/>
      <c r="Y24" s="164"/>
      <c r="Z24" s="164" t="s">
        <v>551</v>
      </c>
      <c r="AA24" s="164"/>
      <c r="AB24" s="164"/>
    </row>
    <row r="25" spans="1:28" x14ac:dyDescent="0.35">
      <c r="A25" s="296"/>
      <c r="B25" s="294" t="s">
        <v>552</v>
      </c>
      <c r="C25" s="6"/>
      <c r="D25" s="6"/>
      <c r="E25" s="6"/>
      <c r="F25" s="6"/>
      <c r="G25" s="6"/>
      <c r="I25" s="294" t="s">
        <v>553</v>
      </c>
      <c r="J25"/>
      <c r="K25"/>
      <c r="L25"/>
      <c r="M25"/>
      <c r="N25"/>
      <c r="P25" s="298" t="s">
        <v>543</v>
      </c>
      <c r="Q25" s="299"/>
      <c r="R25" s="299"/>
      <c r="S25" s="299"/>
      <c r="T25" s="299"/>
      <c r="U25" s="299"/>
      <c r="W25" s="298" t="s">
        <v>554</v>
      </c>
      <c r="X25" s="164"/>
      <c r="Y25" s="164"/>
      <c r="Z25" s="164"/>
      <c r="AA25" s="164"/>
      <c r="AB25" s="164"/>
    </row>
    <row r="26" spans="1:28" x14ac:dyDescent="0.35">
      <c r="B26"/>
      <c r="C26"/>
      <c r="D26"/>
      <c r="E26"/>
      <c r="F26"/>
      <c r="G26"/>
      <c r="I26"/>
      <c r="J26"/>
      <c r="K26"/>
      <c r="L26"/>
      <c r="M26"/>
      <c r="N26"/>
      <c r="P26" s="299"/>
      <c r="Q26" s="299"/>
      <c r="R26" s="299"/>
      <c r="S26" s="299"/>
      <c r="T26" s="299"/>
      <c r="U26" s="299"/>
      <c r="W26" s="164"/>
      <c r="X26" s="164"/>
      <c r="Y26" s="164"/>
      <c r="Z26" s="164"/>
      <c r="AA26" s="164"/>
      <c r="AB26" s="164"/>
    </row>
    <row r="27" spans="1:28" x14ac:dyDescent="0.35">
      <c r="B27"/>
      <c r="C27"/>
      <c r="D27"/>
      <c r="E27"/>
      <c r="F27"/>
      <c r="G27"/>
      <c r="I27"/>
      <c r="J27"/>
      <c r="K27"/>
      <c r="L27"/>
      <c r="M27"/>
      <c r="N27"/>
      <c r="P27" s="164"/>
      <c r="Q27" s="164"/>
      <c r="R27" s="164"/>
      <c r="S27" s="164"/>
      <c r="T27" s="164"/>
      <c r="U27" s="164"/>
      <c r="W27" s="164"/>
      <c r="X27" s="164"/>
      <c r="Y27" s="164"/>
      <c r="Z27" s="164"/>
      <c r="AA27" s="164"/>
      <c r="AB27" s="164"/>
    </row>
    <row r="28" spans="1:28" x14ac:dyDescent="0.35">
      <c r="B28"/>
      <c r="C28"/>
      <c r="D28"/>
      <c r="E28"/>
      <c r="F28"/>
      <c r="G28"/>
      <c r="I28"/>
      <c r="J28"/>
      <c r="K28"/>
      <c r="L28"/>
      <c r="M28"/>
      <c r="N28"/>
      <c r="P28" s="164"/>
      <c r="Q28" s="164"/>
      <c r="R28" s="164"/>
      <c r="S28" s="164"/>
      <c r="T28" s="164"/>
      <c r="U28" s="164"/>
      <c r="W28" s="164"/>
      <c r="X28" s="164"/>
      <c r="Y28" s="164"/>
      <c r="Z28" s="164"/>
      <c r="AA28" s="164"/>
      <c r="AB28" s="164"/>
    </row>
    <row r="29" spans="1:28" x14ac:dyDescent="0.35">
      <c r="B29"/>
      <c r="C29"/>
      <c r="D29"/>
      <c r="E29"/>
      <c r="F29"/>
      <c r="G29"/>
      <c r="I29"/>
      <c r="J29"/>
      <c r="K29"/>
      <c r="L29"/>
      <c r="M29"/>
      <c r="N29"/>
      <c r="P29" s="164"/>
      <c r="Q29" s="164"/>
      <c r="R29" s="164"/>
      <c r="S29" s="164"/>
      <c r="T29" s="164"/>
      <c r="U29" s="164"/>
      <c r="W29" s="164"/>
      <c r="X29" s="164"/>
      <c r="Y29" s="164"/>
      <c r="Z29" s="164"/>
      <c r="AA29" s="164"/>
      <c r="AB29" s="164"/>
    </row>
    <row r="30" spans="1:28" x14ac:dyDescent="0.35">
      <c r="B30"/>
      <c r="C30"/>
      <c r="D30"/>
      <c r="E30"/>
      <c r="F30"/>
      <c r="G30"/>
      <c r="I30"/>
      <c r="J30"/>
      <c r="K30"/>
      <c r="L30"/>
      <c r="M30"/>
      <c r="N30"/>
      <c r="P30" s="164"/>
      <c r="Q30" s="164"/>
      <c r="R30" s="164"/>
      <c r="S30" s="164"/>
      <c r="T30" s="164"/>
      <c r="U30" s="164"/>
      <c r="W30" s="164"/>
      <c r="X30" s="164"/>
      <c r="Y30" s="164"/>
      <c r="Z30" s="164"/>
      <c r="AA30" s="164"/>
      <c r="AB30" s="164"/>
    </row>
    <row r="31" spans="1:28" x14ac:dyDescent="0.35">
      <c r="B31"/>
      <c r="C31"/>
      <c r="D31"/>
      <c r="E31"/>
      <c r="F31"/>
      <c r="G31"/>
      <c r="I31"/>
      <c r="J31"/>
      <c r="K31"/>
      <c r="L31"/>
      <c r="M31"/>
      <c r="N31"/>
      <c r="P31" s="164"/>
      <c r="Q31" s="164"/>
      <c r="R31" s="164"/>
      <c r="S31" s="164"/>
      <c r="T31" s="164"/>
      <c r="U31" s="164"/>
      <c r="W31" s="164"/>
      <c r="X31" s="164"/>
      <c r="Y31" s="164"/>
      <c r="Z31" s="164"/>
      <c r="AA31" s="164"/>
      <c r="AB31" s="164"/>
    </row>
    <row r="32" spans="1:28" x14ac:dyDescent="0.35">
      <c r="B32"/>
      <c r="C32"/>
      <c r="D32"/>
      <c r="E32"/>
      <c r="F32"/>
      <c r="G32"/>
      <c r="I32"/>
      <c r="J32"/>
      <c r="K32"/>
      <c r="L32"/>
      <c r="M32"/>
      <c r="N32"/>
      <c r="P32" s="164"/>
      <c r="Q32" s="164"/>
      <c r="R32" s="164"/>
      <c r="S32" s="164"/>
      <c r="T32" s="164"/>
      <c r="U32" s="164"/>
      <c r="W32" s="164"/>
      <c r="X32" s="164"/>
      <c r="Y32" s="164"/>
      <c r="Z32" s="164"/>
      <c r="AA32" s="164"/>
      <c r="AB32" s="164"/>
    </row>
    <row r="33" spans="1:28" x14ac:dyDescent="0.35">
      <c r="B33"/>
      <c r="C33"/>
      <c r="D33"/>
      <c r="E33"/>
      <c r="F33"/>
      <c r="G33"/>
      <c r="I33"/>
      <c r="J33"/>
      <c r="K33"/>
      <c r="L33"/>
      <c r="M33"/>
      <c r="N33"/>
      <c r="P33" s="164"/>
      <c r="Q33" s="164"/>
      <c r="R33" s="164"/>
      <c r="S33" s="164"/>
      <c r="T33" s="164"/>
      <c r="U33" s="164"/>
      <c r="W33" s="164"/>
      <c r="X33" s="164"/>
      <c r="Y33" s="164"/>
      <c r="Z33" s="164"/>
      <c r="AA33" s="164"/>
      <c r="AB33" s="164"/>
    </row>
    <row r="34" spans="1:28" x14ac:dyDescent="0.35">
      <c r="B34"/>
      <c r="C34"/>
      <c r="D34"/>
      <c r="E34"/>
      <c r="F34"/>
      <c r="G34"/>
      <c r="I34"/>
      <c r="J34"/>
      <c r="K34"/>
      <c r="L34"/>
      <c r="M34"/>
      <c r="N34"/>
      <c r="P34" s="164"/>
      <c r="Q34" s="164"/>
      <c r="R34" s="164"/>
      <c r="S34" s="164"/>
      <c r="T34" s="164"/>
      <c r="U34" s="164"/>
      <c r="W34" s="164"/>
      <c r="X34" s="164"/>
      <c r="Y34" s="164"/>
      <c r="Z34" s="164"/>
      <c r="AA34" s="164"/>
      <c r="AB34" s="164"/>
    </row>
    <row r="35" spans="1:28" x14ac:dyDescent="0.35">
      <c r="B35"/>
      <c r="C35"/>
      <c r="D35"/>
      <c r="E35"/>
      <c r="F35"/>
      <c r="G35"/>
      <c r="I35"/>
      <c r="J35"/>
      <c r="K35"/>
      <c r="L35"/>
      <c r="M35"/>
      <c r="N35"/>
      <c r="P35" s="164"/>
      <c r="Q35" s="164"/>
      <c r="R35" s="164"/>
      <c r="S35" s="164"/>
      <c r="T35" s="164"/>
      <c r="U35" s="164"/>
      <c r="W35" s="164"/>
      <c r="X35" s="164"/>
      <c r="Y35" s="164"/>
      <c r="Z35" s="164"/>
      <c r="AA35" s="164"/>
      <c r="AB35" s="164"/>
    </row>
    <row r="36" spans="1:28" x14ac:dyDescent="0.35">
      <c r="B36"/>
      <c r="C36"/>
      <c r="D36"/>
      <c r="E36"/>
      <c r="F36"/>
      <c r="G36"/>
      <c r="I36"/>
      <c r="J36"/>
      <c r="K36"/>
      <c r="L36"/>
      <c r="M36"/>
      <c r="N36"/>
      <c r="P36" s="164"/>
      <c r="Q36" s="164"/>
      <c r="R36" s="164"/>
      <c r="S36" s="164"/>
      <c r="T36" s="164"/>
      <c r="U36" s="164"/>
      <c r="W36" s="164"/>
      <c r="X36" s="164"/>
      <c r="Y36" s="164"/>
      <c r="Z36" s="164"/>
      <c r="AA36" s="164"/>
      <c r="AB36" s="164"/>
    </row>
    <row r="37" spans="1:28" x14ac:dyDescent="0.35">
      <c r="B37"/>
      <c r="C37"/>
      <c r="D37"/>
      <c r="E37"/>
      <c r="F37"/>
      <c r="G37"/>
      <c r="I37"/>
      <c r="J37"/>
      <c r="K37"/>
      <c r="L37"/>
      <c r="M37"/>
      <c r="N37"/>
      <c r="P37" s="164"/>
      <c r="Q37" s="164"/>
      <c r="R37" s="164"/>
      <c r="S37" s="164"/>
      <c r="T37" s="164"/>
      <c r="U37" s="164"/>
      <c r="W37" s="164"/>
      <c r="X37" s="164"/>
      <c r="Y37" s="164"/>
      <c r="Z37" s="164"/>
      <c r="AA37" s="164"/>
      <c r="AB37" s="164"/>
    </row>
    <row r="38" spans="1:28" x14ac:dyDescent="0.35">
      <c r="B38"/>
      <c r="C38"/>
      <c r="D38"/>
      <c r="E38"/>
      <c r="F38"/>
      <c r="G38"/>
      <c r="I38"/>
      <c r="J38"/>
      <c r="K38"/>
      <c r="L38"/>
      <c r="M38"/>
      <c r="N38"/>
      <c r="P38" s="164"/>
      <c r="Q38" s="164"/>
      <c r="R38" s="164"/>
      <c r="S38" s="164"/>
      <c r="T38" s="164"/>
      <c r="U38" s="164"/>
      <c r="W38" s="164"/>
      <c r="X38" s="164"/>
      <c r="Y38" s="164"/>
      <c r="Z38" s="164"/>
      <c r="AA38" s="164"/>
      <c r="AB38" s="164"/>
    </row>
    <row r="39" spans="1:28" x14ac:dyDescent="0.35">
      <c r="B39"/>
      <c r="C39"/>
      <c r="D39"/>
      <c r="E39"/>
      <c r="F39"/>
      <c r="G39"/>
      <c r="I39"/>
      <c r="J39"/>
      <c r="K39"/>
      <c r="L39"/>
      <c r="M39"/>
      <c r="N39"/>
      <c r="P39" s="164"/>
      <c r="Q39" s="164"/>
      <c r="R39" s="164"/>
      <c r="S39" s="164"/>
      <c r="T39" s="164"/>
      <c r="U39" s="164"/>
      <c r="W39" s="164"/>
      <c r="X39" s="164"/>
      <c r="Y39" s="164"/>
      <c r="Z39" s="164"/>
      <c r="AA39" s="164"/>
      <c r="AB39" s="164"/>
    </row>
    <row r="40" spans="1:28" x14ac:dyDescent="0.35">
      <c r="B40"/>
      <c r="C40"/>
      <c r="D40"/>
      <c r="E40"/>
      <c r="F40"/>
      <c r="G40"/>
      <c r="I40"/>
      <c r="J40"/>
      <c r="K40"/>
      <c r="L40"/>
      <c r="M40"/>
      <c r="N40"/>
      <c r="P40" s="164"/>
      <c r="Q40" s="164"/>
      <c r="R40" s="164"/>
      <c r="S40" s="164"/>
      <c r="T40" s="164"/>
      <c r="U40" s="164"/>
      <c r="W40" s="164"/>
      <c r="X40" s="164"/>
      <c r="Y40" s="164"/>
      <c r="Z40" s="164"/>
      <c r="AA40" s="164"/>
      <c r="AB40" s="164"/>
    </row>
    <row r="41" spans="1:28" x14ac:dyDescent="0.35">
      <c r="B41"/>
      <c r="C41"/>
      <c r="D41"/>
      <c r="E41"/>
      <c r="F41"/>
      <c r="G41"/>
      <c r="I41"/>
      <c r="J41"/>
      <c r="K41"/>
      <c r="L41"/>
      <c r="M41"/>
      <c r="N41"/>
      <c r="P41" s="299"/>
      <c r="Q41" s="299"/>
      <c r="R41" s="299"/>
      <c r="S41" s="299"/>
      <c r="T41" s="299"/>
      <c r="U41" s="299"/>
      <c r="W41" s="164"/>
      <c r="X41" s="164"/>
      <c r="Y41" s="164"/>
      <c r="Z41" s="164"/>
      <c r="AA41" s="164"/>
      <c r="AB41" s="164"/>
    </row>
    <row r="42" spans="1:28" x14ac:dyDescent="0.35">
      <c r="A42" s="295"/>
      <c r="B42" s="295"/>
      <c r="C42" s="295"/>
      <c r="D42" s="295"/>
      <c r="E42" s="295"/>
      <c r="F42" s="295"/>
      <c r="G42" s="295"/>
    </row>
    <row r="43" spans="1:28" x14ac:dyDescent="0.35">
      <c r="A43" s="296"/>
      <c r="B43" s="296"/>
      <c r="C43" s="296"/>
      <c r="D43" s="296"/>
      <c r="E43" s="296"/>
      <c r="F43" s="296"/>
      <c r="G43" s="296"/>
    </row>
    <row r="54" spans="1:7" x14ac:dyDescent="0.35">
      <c r="A54" s="291"/>
      <c r="B54" s="296"/>
      <c r="C54" s="296"/>
      <c r="D54" s="296"/>
      <c r="E54" s="296"/>
      <c r="F54" s="296"/>
      <c r="G54" s="296"/>
    </row>
    <row r="55" spans="1:7" x14ac:dyDescent="0.35">
      <c r="A55" s="291"/>
      <c r="B55" s="296"/>
      <c r="C55" s="296"/>
      <c r="D55" s="296"/>
      <c r="E55" s="296"/>
      <c r="F55" s="296"/>
      <c r="G55" s="296"/>
    </row>
  </sheetData>
  <sheetProtection algorithmName="SHA-512" hashValue="oUO/CUJYZMZMchYBfzhGYgbCrPuf8AgLlQaSpi+m5QU9kTukwZU8Bi5euadW/CDujD3KHCorFtYty05sHPykpw==" saltValue="sLSfmgzfH9OOBisrlx+/lA==" spinCount="100000" sheet="1" formatCells="0"/>
  <mergeCells count="1">
    <mergeCell ref="B2:AB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AECB-A219-4CF1-A928-66735A6D39FB}">
  <sheetPr codeName="Sheet15">
    <tabColor rgb="FFFFC000"/>
  </sheetPr>
  <dimension ref="A1:AKY156"/>
  <sheetViews>
    <sheetView showGridLines="0" zoomScale="90" zoomScaleNormal="90" workbookViewId="0">
      <selection activeCell="A3" sqref="A3"/>
    </sheetView>
  </sheetViews>
  <sheetFormatPr defaultColWidth="8.453125" defaultRowHeight="15" thickBottom="1" x14ac:dyDescent="0.4"/>
  <cols>
    <col min="1" max="1" width="5.453125" style="99" customWidth="1"/>
    <col min="2" max="2" width="16.1796875" style="99" customWidth="1"/>
    <col min="3" max="3" width="55" style="99" customWidth="1"/>
    <col min="4" max="4" width="13.36328125" style="99" bestFit="1" customWidth="1"/>
    <col min="5" max="5" width="19.453125" style="99" customWidth="1"/>
    <col min="6" max="7" width="14.453125" style="201" bestFit="1" customWidth="1"/>
    <col min="8" max="8" width="14" style="201" customWidth="1"/>
    <col min="9" max="9" width="20" style="99" customWidth="1"/>
    <col min="10" max="10" width="45.36328125" style="99" customWidth="1"/>
    <col min="11" max="11" width="9.453125" style="99" bestFit="1" customWidth="1"/>
    <col min="12" max="16384" width="8.453125" style="99"/>
  </cols>
  <sheetData>
    <row r="1" spans="1:987" ht="18" customHeight="1" thickBot="1" x14ac:dyDescent="0.4"/>
    <row r="2" spans="1:987" s="364" customFormat="1" ht="35" customHeight="1" thickBot="1" x14ac:dyDescent="0.4">
      <c r="A2" s="373"/>
      <c r="B2" s="498" t="s">
        <v>573</v>
      </c>
      <c r="C2" s="499"/>
      <c r="D2" s="499"/>
      <c r="E2" s="499"/>
      <c r="F2" s="499"/>
      <c r="G2" s="499"/>
      <c r="H2" s="499"/>
      <c r="I2" s="499"/>
      <c r="J2" s="499"/>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9"/>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c r="EA2" s="373"/>
      <c r="EB2" s="373"/>
      <c r="EC2" s="373"/>
      <c r="ED2" s="373"/>
      <c r="EE2" s="373"/>
      <c r="EF2" s="373"/>
      <c r="EG2" s="373"/>
      <c r="EH2" s="373"/>
      <c r="EI2" s="373"/>
      <c r="EJ2" s="373"/>
      <c r="EK2" s="373"/>
      <c r="EL2" s="373"/>
      <c r="EM2" s="373"/>
      <c r="EN2" s="373"/>
      <c r="EO2" s="373"/>
      <c r="EP2" s="373"/>
      <c r="EQ2" s="373"/>
      <c r="ER2" s="373"/>
      <c r="ES2" s="373"/>
      <c r="ET2" s="373"/>
      <c r="EU2" s="373"/>
      <c r="EV2" s="373"/>
      <c r="EW2" s="373"/>
      <c r="EX2" s="373"/>
      <c r="EY2" s="373"/>
      <c r="EZ2" s="373"/>
      <c r="FA2" s="373"/>
      <c r="FB2" s="373"/>
      <c r="FC2" s="373"/>
      <c r="FD2" s="373"/>
      <c r="FE2" s="373"/>
      <c r="FF2" s="373"/>
      <c r="FG2" s="373"/>
      <c r="FH2" s="373"/>
      <c r="FI2" s="373"/>
      <c r="FJ2" s="373"/>
      <c r="FK2" s="373"/>
      <c r="FL2" s="373"/>
      <c r="FM2" s="373"/>
      <c r="FN2" s="373"/>
      <c r="FO2" s="373"/>
      <c r="FP2" s="373"/>
      <c r="FQ2" s="373"/>
      <c r="FR2" s="373"/>
      <c r="FS2" s="373"/>
      <c r="FT2" s="373"/>
      <c r="FU2" s="373"/>
      <c r="FV2" s="373"/>
      <c r="FW2" s="373"/>
      <c r="FX2" s="373"/>
      <c r="FY2" s="373"/>
      <c r="FZ2" s="373"/>
      <c r="GA2" s="373"/>
      <c r="GB2" s="373"/>
      <c r="GC2" s="373"/>
      <c r="GD2" s="373"/>
      <c r="GE2" s="373"/>
      <c r="GF2" s="373"/>
      <c r="GG2" s="373"/>
      <c r="GH2" s="373"/>
      <c r="GI2" s="373"/>
      <c r="GJ2" s="373"/>
      <c r="GK2" s="373"/>
      <c r="GL2" s="373"/>
      <c r="GM2" s="373"/>
      <c r="GN2" s="373"/>
      <c r="GO2" s="373"/>
      <c r="GP2" s="373"/>
      <c r="GQ2" s="373"/>
      <c r="GR2" s="373"/>
      <c r="GS2" s="373"/>
      <c r="GT2" s="373"/>
      <c r="GU2" s="373"/>
      <c r="GV2" s="373"/>
      <c r="GW2" s="373"/>
      <c r="GX2" s="373"/>
      <c r="GY2" s="373"/>
      <c r="GZ2" s="373"/>
      <c r="HA2" s="373"/>
      <c r="HB2" s="373"/>
      <c r="HC2" s="373"/>
      <c r="HD2" s="373"/>
      <c r="HE2" s="373"/>
      <c r="HF2" s="373"/>
      <c r="HG2" s="373"/>
      <c r="HH2" s="373"/>
      <c r="HI2" s="373"/>
      <c r="HJ2" s="373"/>
      <c r="HK2" s="373"/>
      <c r="HL2" s="373"/>
      <c r="HM2" s="373"/>
      <c r="HN2" s="373"/>
      <c r="HO2" s="373"/>
      <c r="HP2" s="373"/>
      <c r="HQ2" s="373"/>
      <c r="HR2" s="373"/>
      <c r="HS2" s="373"/>
      <c r="HT2" s="373"/>
      <c r="HU2" s="373"/>
      <c r="HV2" s="373"/>
      <c r="HW2" s="373"/>
      <c r="HX2" s="373"/>
      <c r="HY2" s="373"/>
      <c r="HZ2" s="373"/>
      <c r="IA2" s="373"/>
      <c r="IB2" s="373"/>
      <c r="IC2" s="373"/>
      <c r="ID2" s="373"/>
      <c r="IE2" s="373"/>
      <c r="IF2" s="373"/>
      <c r="IG2" s="373"/>
      <c r="IH2" s="373"/>
      <c r="II2" s="373"/>
      <c r="IJ2" s="373"/>
      <c r="IK2" s="373"/>
      <c r="IL2" s="373"/>
      <c r="IM2" s="373"/>
      <c r="IN2" s="373"/>
      <c r="IO2" s="373"/>
      <c r="IP2" s="373"/>
      <c r="IQ2" s="373"/>
      <c r="IR2" s="373"/>
      <c r="IS2" s="373"/>
      <c r="IT2" s="373"/>
      <c r="IU2" s="373"/>
      <c r="IV2" s="373"/>
      <c r="IW2" s="373"/>
      <c r="IX2" s="373"/>
      <c r="IY2" s="373"/>
      <c r="IZ2" s="373"/>
      <c r="JA2" s="373"/>
      <c r="JB2" s="373"/>
      <c r="JC2" s="373"/>
      <c r="JD2" s="373"/>
      <c r="JE2" s="373"/>
      <c r="JF2" s="373"/>
      <c r="JG2" s="373"/>
      <c r="JH2" s="373"/>
      <c r="JI2" s="373"/>
      <c r="JJ2" s="373"/>
      <c r="JK2" s="373"/>
      <c r="JL2" s="373"/>
      <c r="JM2" s="373"/>
      <c r="JN2" s="373"/>
      <c r="JO2" s="373"/>
      <c r="JP2" s="373"/>
      <c r="JQ2" s="373"/>
      <c r="JR2" s="373"/>
      <c r="JS2" s="373"/>
      <c r="JT2" s="373"/>
      <c r="JU2" s="373"/>
      <c r="JV2" s="373"/>
      <c r="JW2" s="373"/>
      <c r="JX2" s="373"/>
      <c r="JY2" s="373"/>
      <c r="JZ2" s="373"/>
      <c r="KA2" s="373"/>
      <c r="KB2" s="373"/>
      <c r="KC2" s="373"/>
      <c r="KD2" s="373"/>
      <c r="KE2" s="373"/>
      <c r="KF2" s="373"/>
      <c r="KG2" s="373"/>
      <c r="KH2" s="373"/>
      <c r="KI2" s="373"/>
      <c r="KJ2" s="373"/>
      <c r="KK2" s="373"/>
      <c r="KL2" s="373"/>
      <c r="KM2" s="373"/>
      <c r="KN2" s="373"/>
      <c r="KO2" s="373"/>
      <c r="KP2" s="373"/>
      <c r="KQ2" s="373"/>
      <c r="KR2" s="373"/>
      <c r="KS2" s="373"/>
      <c r="KT2" s="373"/>
      <c r="KU2" s="373"/>
      <c r="KV2" s="373"/>
      <c r="KW2" s="373"/>
      <c r="KX2" s="373"/>
      <c r="KY2" s="373"/>
      <c r="KZ2" s="373"/>
      <c r="LA2" s="373"/>
      <c r="LB2" s="373"/>
      <c r="LC2" s="373"/>
      <c r="LD2" s="373"/>
      <c r="LE2" s="373"/>
      <c r="LF2" s="373"/>
      <c r="LG2" s="373"/>
      <c r="LH2" s="373"/>
      <c r="LI2" s="373"/>
      <c r="LJ2" s="373"/>
      <c r="LK2" s="373"/>
      <c r="LL2" s="373"/>
      <c r="LM2" s="373"/>
      <c r="LN2" s="373"/>
      <c r="LO2" s="373"/>
      <c r="LP2" s="373"/>
      <c r="LQ2" s="373"/>
      <c r="LR2" s="373"/>
      <c r="LS2" s="373"/>
      <c r="LT2" s="373"/>
      <c r="LU2" s="373"/>
      <c r="LV2" s="373"/>
      <c r="LW2" s="373"/>
      <c r="LX2" s="373"/>
      <c r="LY2" s="373"/>
      <c r="LZ2" s="373"/>
      <c r="MA2" s="373"/>
      <c r="MB2" s="373"/>
      <c r="MC2" s="373"/>
      <c r="MD2" s="373"/>
      <c r="ME2" s="373"/>
      <c r="MF2" s="373"/>
      <c r="MG2" s="373"/>
      <c r="MH2" s="373"/>
      <c r="MI2" s="373"/>
      <c r="MJ2" s="373"/>
      <c r="MK2" s="373"/>
      <c r="ML2" s="373"/>
      <c r="MM2" s="373"/>
      <c r="MN2" s="373"/>
      <c r="MO2" s="373"/>
      <c r="MP2" s="373"/>
      <c r="MQ2" s="373"/>
      <c r="MR2" s="373"/>
      <c r="MS2" s="373"/>
      <c r="MT2" s="373"/>
      <c r="MU2" s="373"/>
      <c r="MV2" s="373"/>
      <c r="MW2" s="373"/>
      <c r="MX2" s="373"/>
      <c r="MY2" s="373"/>
      <c r="MZ2" s="373"/>
      <c r="NA2" s="373"/>
      <c r="NB2" s="373"/>
      <c r="NC2" s="373"/>
      <c r="ND2" s="373"/>
      <c r="NE2" s="373"/>
      <c r="NF2" s="373"/>
      <c r="NG2" s="373"/>
      <c r="NH2" s="373"/>
      <c r="NI2" s="373"/>
      <c r="NJ2" s="373"/>
      <c r="NK2" s="373"/>
      <c r="NL2" s="373"/>
      <c r="NM2" s="373"/>
      <c r="NN2" s="373"/>
      <c r="NO2" s="373"/>
      <c r="NP2" s="373"/>
      <c r="NQ2" s="373"/>
      <c r="NR2" s="373"/>
      <c r="NS2" s="373"/>
      <c r="NT2" s="373"/>
      <c r="NU2" s="373"/>
      <c r="NV2" s="373"/>
      <c r="NW2" s="373"/>
      <c r="NX2" s="373"/>
      <c r="NY2" s="373"/>
      <c r="NZ2" s="373"/>
      <c r="OA2" s="373"/>
      <c r="OB2" s="373"/>
      <c r="OC2" s="373"/>
      <c r="OD2" s="373"/>
      <c r="OE2" s="373"/>
      <c r="OF2" s="373"/>
      <c r="OG2" s="373"/>
      <c r="OH2" s="373"/>
      <c r="OI2" s="373"/>
      <c r="OJ2" s="373"/>
      <c r="OK2" s="373"/>
      <c r="OL2" s="373"/>
      <c r="OM2" s="373"/>
      <c r="ON2" s="373"/>
      <c r="OO2" s="373"/>
      <c r="OP2" s="373"/>
      <c r="OQ2" s="373"/>
      <c r="OR2" s="373"/>
      <c r="OS2" s="373"/>
      <c r="OT2" s="373"/>
      <c r="OU2" s="373"/>
      <c r="OV2" s="373"/>
      <c r="OW2" s="373"/>
      <c r="OX2" s="373"/>
      <c r="OY2" s="373"/>
      <c r="OZ2" s="373"/>
      <c r="PA2" s="373"/>
      <c r="PB2" s="373"/>
      <c r="PC2" s="373"/>
      <c r="PD2" s="373"/>
      <c r="PE2" s="373"/>
      <c r="PF2" s="373"/>
      <c r="PG2" s="373"/>
      <c r="PH2" s="373"/>
      <c r="PI2" s="373"/>
      <c r="PJ2" s="373"/>
      <c r="PK2" s="373"/>
      <c r="PL2" s="373"/>
      <c r="PM2" s="373"/>
      <c r="PN2" s="373"/>
      <c r="PO2" s="373"/>
      <c r="PP2" s="373"/>
      <c r="PQ2" s="373"/>
      <c r="PR2" s="373"/>
      <c r="PS2" s="373"/>
      <c r="PT2" s="373"/>
      <c r="PU2" s="373"/>
      <c r="PV2" s="373"/>
      <c r="PW2" s="373"/>
      <c r="PX2" s="373"/>
      <c r="PY2" s="373"/>
      <c r="PZ2" s="373"/>
      <c r="QA2" s="373"/>
      <c r="QB2" s="373"/>
      <c r="QC2" s="373"/>
      <c r="QD2" s="373"/>
      <c r="QE2" s="373"/>
      <c r="QF2" s="373"/>
      <c r="QG2" s="373"/>
      <c r="QH2" s="373"/>
      <c r="QI2" s="373"/>
      <c r="QJ2" s="373"/>
      <c r="QK2" s="373"/>
      <c r="QL2" s="373"/>
      <c r="QM2" s="373"/>
      <c r="QN2" s="373"/>
      <c r="QO2" s="373"/>
      <c r="QP2" s="373"/>
      <c r="QQ2" s="373"/>
      <c r="QR2" s="373"/>
      <c r="QS2" s="373"/>
      <c r="QT2" s="373"/>
      <c r="QU2" s="373"/>
      <c r="QV2" s="373"/>
      <c r="QW2" s="373"/>
      <c r="QX2" s="373"/>
      <c r="QY2" s="373"/>
      <c r="QZ2" s="373"/>
      <c r="RA2" s="373"/>
      <c r="RB2" s="373"/>
      <c r="RC2" s="373"/>
      <c r="RD2" s="373"/>
      <c r="RE2" s="373"/>
      <c r="RF2" s="373"/>
      <c r="RG2" s="373"/>
      <c r="RH2" s="373"/>
      <c r="RI2" s="373"/>
      <c r="RJ2" s="373"/>
      <c r="RK2" s="373"/>
      <c r="RL2" s="373"/>
      <c r="RM2" s="373"/>
      <c r="RN2" s="373"/>
      <c r="RO2" s="373"/>
      <c r="RP2" s="373"/>
      <c r="RQ2" s="373"/>
      <c r="RR2" s="373"/>
      <c r="RS2" s="373"/>
      <c r="RT2" s="373"/>
      <c r="RU2" s="373"/>
      <c r="RV2" s="373"/>
      <c r="RW2" s="373"/>
      <c r="RX2" s="373"/>
      <c r="RY2" s="373"/>
      <c r="RZ2" s="373"/>
      <c r="SA2" s="373"/>
      <c r="SB2" s="373"/>
      <c r="SC2" s="373"/>
      <c r="SD2" s="373"/>
      <c r="SE2" s="373"/>
      <c r="SF2" s="373"/>
      <c r="SG2" s="373"/>
      <c r="SH2" s="373"/>
      <c r="SI2" s="373"/>
      <c r="SJ2" s="373"/>
      <c r="SK2" s="373"/>
      <c r="SL2" s="373"/>
      <c r="SM2" s="373"/>
      <c r="SN2" s="373"/>
      <c r="SO2" s="373"/>
      <c r="SP2" s="373"/>
      <c r="SQ2" s="373"/>
      <c r="SR2" s="373"/>
      <c r="SS2" s="373"/>
      <c r="ST2" s="373"/>
      <c r="SU2" s="373"/>
      <c r="SV2" s="373"/>
      <c r="SW2" s="373"/>
      <c r="SX2" s="373"/>
      <c r="SY2" s="373"/>
      <c r="SZ2" s="373"/>
      <c r="TA2" s="373"/>
      <c r="TB2" s="373"/>
      <c r="TC2" s="373"/>
      <c r="TD2" s="373"/>
      <c r="TE2" s="373"/>
      <c r="TF2" s="373"/>
      <c r="TG2" s="373"/>
      <c r="TH2" s="373"/>
      <c r="TI2" s="373"/>
      <c r="TJ2" s="373"/>
      <c r="TK2" s="373"/>
      <c r="TL2" s="373"/>
      <c r="TM2" s="373"/>
      <c r="TN2" s="373"/>
      <c r="TO2" s="373"/>
      <c r="TP2" s="373"/>
      <c r="TQ2" s="373"/>
      <c r="TR2" s="373"/>
      <c r="TS2" s="373"/>
      <c r="TT2" s="373"/>
      <c r="TU2" s="373"/>
      <c r="TV2" s="373"/>
      <c r="TW2" s="373"/>
      <c r="TX2" s="373"/>
      <c r="TY2" s="373"/>
      <c r="TZ2" s="373"/>
      <c r="UA2" s="373"/>
      <c r="UB2" s="373"/>
      <c r="UC2" s="373"/>
      <c r="UD2" s="373"/>
      <c r="UE2" s="373"/>
      <c r="UF2" s="373"/>
      <c r="UG2" s="373"/>
      <c r="UH2" s="373"/>
      <c r="UI2" s="373"/>
      <c r="UJ2" s="373"/>
      <c r="UK2" s="373"/>
      <c r="UL2" s="373"/>
      <c r="UM2" s="373"/>
      <c r="UN2" s="373"/>
      <c r="UO2" s="373"/>
      <c r="UP2" s="373"/>
      <c r="UQ2" s="373"/>
      <c r="UR2" s="373"/>
      <c r="US2" s="373"/>
      <c r="UT2" s="373"/>
      <c r="UU2" s="373"/>
      <c r="UV2" s="373"/>
      <c r="UW2" s="373"/>
      <c r="UX2" s="373"/>
      <c r="UY2" s="373"/>
      <c r="UZ2" s="373"/>
      <c r="VA2" s="373"/>
      <c r="VB2" s="373"/>
      <c r="VC2" s="373"/>
      <c r="VD2" s="373"/>
      <c r="VE2" s="373"/>
      <c r="VF2" s="373"/>
      <c r="VG2" s="373"/>
      <c r="VH2" s="373"/>
      <c r="VI2" s="373"/>
      <c r="VJ2" s="373"/>
      <c r="VK2" s="373"/>
      <c r="VL2" s="373"/>
      <c r="VM2" s="373"/>
      <c r="VN2" s="373"/>
      <c r="VO2" s="373"/>
      <c r="VP2" s="373"/>
      <c r="VQ2" s="373"/>
      <c r="VR2" s="373"/>
      <c r="VS2" s="373"/>
      <c r="VT2" s="373"/>
      <c r="VU2" s="373"/>
      <c r="VV2" s="373"/>
      <c r="VW2" s="373"/>
      <c r="VX2" s="373"/>
      <c r="VY2" s="373"/>
      <c r="VZ2" s="373"/>
      <c r="WA2" s="373"/>
      <c r="WB2" s="373"/>
      <c r="WC2" s="373"/>
      <c r="WD2" s="373"/>
      <c r="WE2" s="373"/>
      <c r="WF2" s="373"/>
      <c r="WG2" s="373"/>
      <c r="WH2" s="373"/>
      <c r="WI2" s="373"/>
      <c r="WJ2" s="373"/>
      <c r="WK2" s="373"/>
      <c r="WL2" s="373"/>
      <c r="WM2" s="373"/>
      <c r="WN2" s="373"/>
      <c r="WO2" s="373"/>
      <c r="WP2" s="373"/>
      <c r="WQ2" s="373"/>
      <c r="WR2" s="373"/>
      <c r="WS2" s="373"/>
      <c r="WT2" s="373"/>
      <c r="WU2" s="373"/>
      <c r="WV2" s="373"/>
      <c r="WW2" s="373"/>
      <c r="WX2" s="373"/>
      <c r="WY2" s="373"/>
      <c r="WZ2" s="373"/>
      <c r="XA2" s="373"/>
      <c r="XB2" s="373"/>
      <c r="XC2" s="373"/>
      <c r="XD2" s="373"/>
      <c r="XE2" s="373"/>
      <c r="XF2" s="373"/>
      <c r="XG2" s="373"/>
      <c r="XH2" s="373"/>
      <c r="XI2" s="373"/>
      <c r="XJ2" s="373"/>
      <c r="XK2" s="373"/>
      <c r="XL2" s="373"/>
      <c r="XM2" s="373"/>
      <c r="XN2" s="373"/>
      <c r="XO2" s="373"/>
      <c r="XP2" s="373"/>
      <c r="XQ2" s="373"/>
      <c r="XR2" s="373"/>
      <c r="XS2" s="373"/>
      <c r="XT2" s="373"/>
      <c r="XU2" s="373"/>
      <c r="XV2" s="373"/>
      <c r="XW2" s="373"/>
      <c r="XX2" s="373"/>
      <c r="XY2" s="373"/>
      <c r="XZ2" s="373"/>
      <c r="YA2" s="373"/>
      <c r="YB2" s="373"/>
      <c r="YC2" s="373"/>
      <c r="YD2" s="373"/>
      <c r="YE2" s="373"/>
      <c r="YF2" s="373"/>
      <c r="YG2" s="373"/>
      <c r="YH2" s="373"/>
      <c r="YI2" s="373"/>
      <c r="YJ2" s="373"/>
      <c r="YK2" s="373"/>
      <c r="YL2" s="373"/>
      <c r="YM2" s="373"/>
      <c r="YN2" s="373"/>
      <c r="YO2" s="373"/>
      <c r="YP2" s="373"/>
      <c r="YQ2" s="373"/>
      <c r="YR2" s="373"/>
      <c r="YS2" s="373"/>
      <c r="YT2" s="373"/>
      <c r="YU2" s="373"/>
      <c r="YV2" s="373"/>
      <c r="YW2" s="373"/>
      <c r="YX2" s="373"/>
      <c r="YY2" s="373"/>
      <c r="YZ2" s="373"/>
      <c r="ZA2" s="373"/>
      <c r="ZB2" s="373"/>
      <c r="ZC2" s="373"/>
      <c r="ZD2" s="373"/>
      <c r="ZE2" s="373"/>
      <c r="ZF2" s="373"/>
      <c r="ZG2" s="373"/>
      <c r="ZH2" s="373"/>
      <c r="ZI2" s="373"/>
      <c r="ZJ2" s="373"/>
      <c r="ZK2" s="373"/>
      <c r="ZL2" s="373"/>
      <c r="ZM2" s="373"/>
      <c r="ZN2" s="373"/>
      <c r="ZO2" s="373"/>
      <c r="ZP2" s="373"/>
      <c r="ZQ2" s="373"/>
      <c r="ZR2" s="373"/>
      <c r="ZS2" s="373"/>
      <c r="ZT2" s="373"/>
      <c r="ZU2" s="373"/>
      <c r="ZV2" s="373"/>
      <c r="ZW2" s="373"/>
      <c r="ZX2" s="373"/>
      <c r="ZY2" s="373"/>
      <c r="ZZ2" s="373"/>
      <c r="AAA2" s="373"/>
      <c r="AAB2" s="373"/>
      <c r="AAC2" s="373"/>
      <c r="AAD2" s="373"/>
      <c r="AAE2" s="373"/>
      <c r="AAF2" s="373"/>
      <c r="AAG2" s="373"/>
      <c r="AAH2" s="373"/>
      <c r="AAI2" s="373"/>
      <c r="AAJ2" s="373"/>
      <c r="AAK2" s="373"/>
      <c r="AAL2" s="373"/>
      <c r="AAM2" s="373"/>
      <c r="AAN2" s="373"/>
      <c r="AAO2" s="373"/>
      <c r="AAP2" s="373"/>
      <c r="AAQ2" s="373"/>
      <c r="AAR2" s="373"/>
      <c r="AAS2" s="373"/>
      <c r="AAT2" s="373"/>
      <c r="AAU2" s="373"/>
      <c r="AAV2" s="373"/>
      <c r="AAW2" s="373"/>
      <c r="AAX2" s="373"/>
      <c r="AAY2" s="373"/>
      <c r="AAZ2" s="373"/>
      <c r="ABA2" s="373"/>
      <c r="ABB2" s="373"/>
      <c r="ABC2" s="373"/>
      <c r="ABD2" s="373"/>
      <c r="ABE2" s="373"/>
      <c r="ABF2" s="373"/>
      <c r="ABG2" s="373"/>
      <c r="ABH2" s="373"/>
      <c r="ABI2" s="373"/>
      <c r="ABJ2" s="373"/>
      <c r="ABK2" s="373"/>
      <c r="ABL2" s="373"/>
      <c r="ABM2" s="373"/>
      <c r="ABN2" s="373"/>
      <c r="ABO2" s="373"/>
      <c r="ABP2" s="373"/>
      <c r="ABQ2" s="373"/>
      <c r="ABR2" s="373"/>
      <c r="ABS2" s="373"/>
      <c r="ABT2" s="373"/>
      <c r="ABU2" s="373"/>
      <c r="ABV2" s="373"/>
      <c r="ABW2" s="373"/>
      <c r="ABX2" s="373"/>
      <c r="ABY2" s="373"/>
      <c r="ABZ2" s="373"/>
      <c r="ACA2" s="373"/>
      <c r="ACB2" s="373"/>
      <c r="ACC2" s="373"/>
      <c r="ACD2" s="373"/>
      <c r="ACE2" s="373"/>
      <c r="ACF2" s="373"/>
      <c r="ACG2" s="373"/>
      <c r="ACH2" s="373"/>
      <c r="ACI2" s="373"/>
      <c r="ACJ2" s="373"/>
      <c r="ACK2" s="373"/>
      <c r="ACL2" s="373"/>
      <c r="ACM2" s="373"/>
      <c r="ACN2" s="373"/>
      <c r="ACO2" s="373"/>
      <c r="ACP2" s="373"/>
      <c r="ACQ2" s="373"/>
      <c r="ACR2" s="373"/>
      <c r="ACS2" s="373"/>
      <c r="ACT2" s="373"/>
      <c r="ACU2" s="373"/>
      <c r="ACV2" s="373"/>
      <c r="ACW2" s="373"/>
      <c r="ACX2" s="373"/>
      <c r="ACY2" s="373"/>
      <c r="ACZ2" s="373"/>
      <c r="ADA2" s="373"/>
      <c r="ADB2" s="373"/>
      <c r="ADC2" s="373"/>
      <c r="ADD2" s="373"/>
      <c r="ADE2" s="373"/>
      <c r="ADF2" s="373"/>
      <c r="ADG2" s="373"/>
      <c r="ADH2" s="373"/>
      <c r="ADI2" s="373"/>
      <c r="ADJ2" s="373"/>
      <c r="ADK2" s="373"/>
      <c r="ADL2" s="373"/>
      <c r="ADM2" s="373"/>
      <c r="ADN2" s="373"/>
      <c r="ADO2" s="373"/>
      <c r="ADP2" s="373"/>
      <c r="ADQ2" s="373"/>
      <c r="ADR2" s="373"/>
      <c r="ADS2" s="373"/>
      <c r="ADT2" s="373"/>
      <c r="ADU2" s="373"/>
      <c r="ADV2" s="373"/>
      <c r="ADW2" s="373"/>
      <c r="ADX2" s="373"/>
      <c r="ADY2" s="373"/>
      <c r="ADZ2" s="373"/>
      <c r="AEA2" s="373"/>
      <c r="AEB2" s="373"/>
      <c r="AEC2" s="373"/>
      <c r="AED2" s="373"/>
      <c r="AEE2" s="373"/>
      <c r="AEF2" s="373"/>
      <c r="AEG2" s="373"/>
      <c r="AEH2" s="373"/>
      <c r="AEI2" s="373"/>
      <c r="AEJ2" s="373"/>
      <c r="AEK2" s="373"/>
      <c r="AEL2" s="373"/>
      <c r="AEM2" s="373"/>
      <c r="AEN2" s="373"/>
      <c r="AEO2" s="373"/>
      <c r="AEP2" s="373"/>
      <c r="AEQ2" s="373"/>
      <c r="AER2" s="373"/>
      <c r="AES2" s="373"/>
      <c r="AET2" s="373"/>
      <c r="AEU2" s="373"/>
      <c r="AEV2" s="373"/>
      <c r="AEW2" s="373"/>
      <c r="AEX2" s="373"/>
      <c r="AEY2" s="373"/>
      <c r="AEZ2" s="373"/>
      <c r="AFA2" s="373"/>
      <c r="AFB2" s="373"/>
      <c r="AFC2" s="373"/>
      <c r="AFD2" s="373"/>
      <c r="AFE2" s="373"/>
      <c r="AFF2" s="373"/>
      <c r="AFG2" s="373"/>
      <c r="AFH2" s="373"/>
      <c r="AFI2" s="373"/>
      <c r="AFJ2" s="373"/>
      <c r="AFK2" s="373"/>
      <c r="AFL2" s="373"/>
      <c r="AFM2" s="373"/>
      <c r="AFN2" s="373"/>
      <c r="AFO2" s="373"/>
      <c r="AFP2" s="373"/>
      <c r="AFQ2" s="373"/>
      <c r="AFR2" s="373"/>
      <c r="AFS2" s="373"/>
      <c r="AFT2" s="373"/>
      <c r="AFU2" s="373"/>
      <c r="AFV2" s="373"/>
      <c r="AFW2" s="373"/>
      <c r="AFX2" s="373"/>
      <c r="AFY2" s="373"/>
      <c r="AFZ2" s="373"/>
      <c r="AGA2" s="373"/>
      <c r="AGB2" s="373"/>
      <c r="AGC2" s="373"/>
      <c r="AGD2" s="373"/>
      <c r="AGE2" s="373"/>
      <c r="AGF2" s="373"/>
      <c r="AGG2" s="373"/>
      <c r="AGH2" s="373"/>
      <c r="AGI2" s="373"/>
      <c r="AGJ2" s="373"/>
      <c r="AGK2" s="373"/>
      <c r="AGL2" s="373"/>
      <c r="AGM2" s="373"/>
      <c r="AGN2" s="373"/>
      <c r="AGO2" s="373"/>
      <c r="AGP2" s="373"/>
      <c r="AGQ2" s="373"/>
      <c r="AGR2" s="373"/>
      <c r="AGS2" s="373"/>
      <c r="AGT2" s="373"/>
      <c r="AGU2" s="373"/>
      <c r="AGV2" s="373"/>
      <c r="AGW2" s="373"/>
      <c r="AGX2" s="373"/>
      <c r="AGY2" s="373"/>
      <c r="AGZ2" s="373"/>
      <c r="AHA2" s="373"/>
      <c r="AHB2" s="373"/>
      <c r="AHC2" s="373"/>
      <c r="AHD2" s="373"/>
      <c r="AHE2" s="373"/>
      <c r="AHF2" s="373"/>
      <c r="AHG2" s="373"/>
      <c r="AHH2" s="373"/>
      <c r="AHI2" s="373"/>
      <c r="AHJ2" s="373"/>
      <c r="AHK2" s="373"/>
      <c r="AHL2" s="373"/>
      <c r="AHM2" s="373"/>
      <c r="AHN2" s="373"/>
      <c r="AHO2" s="373"/>
      <c r="AHP2" s="373"/>
      <c r="AHQ2" s="373"/>
      <c r="AHR2" s="373"/>
      <c r="AHS2" s="373"/>
      <c r="AHT2" s="373"/>
      <c r="AHU2" s="373"/>
      <c r="AHV2" s="373"/>
      <c r="AHW2" s="373"/>
      <c r="AHX2" s="373"/>
      <c r="AHY2" s="373"/>
      <c r="AHZ2" s="373"/>
      <c r="AIA2" s="373"/>
      <c r="AIB2" s="373"/>
      <c r="AIC2" s="373"/>
      <c r="AID2" s="373"/>
      <c r="AIE2" s="373"/>
      <c r="AIF2" s="373"/>
      <c r="AIG2" s="373"/>
      <c r="AIH2" s="373"/>
      <c r="AII2" s="373"/>
      <c r="AIJ2" s="373"/>
      <c r="AIK2" s="373"/>
      <c r="AIL2" s="373"/>
      <c r="AIM2" s="373"/>
      <c r="AIN2" s="373"/>
      <c r="AIO2" s="373"/>
      <c r="AIP2" s="373"/>
      <c r="AIQ2" s="373"/>
      <c r="AIR2" s="373"/>
      <c r="AIS2" s="373"/>
      <c r="AIT2" s="373"/>
      <c r="AIU2" s="373"/>
      <c r="AIV2" s="373"/>
      <c r="AIW2" s="373"/>
      <c r="AIX2" s="373"/>
      <c r="AIY2" s="373"/>
      <c r="AIZ2" s="373"/>
      <c r="AJA2" s="373"/>
      <c r="AJB2" s="373"/>
      <c r="AJC2" s="373"/>
      <c r="AJD2" s="373"/>
      <c r="AJE2" s="373"/>
      <c r="AJF2" s="373"/>
      <c r="AJG2" s="373"/>
      <c r="AJH2" s="373"/>
      <c r="AJI2" s="373"/>
      <c r="AJJ2" s="373"/>
      <c r="AJK2" s="373"/>
      <c r="AJL2" s="373"/>
      <c r="AJM2" s="373"/>
      <c r="AJN2" s="373"/>
      <c r="AJO2" s="373"/>
      <c r="AJP2" s="373"/>
      <c r="AJQ2" s="373"/>
      <c r="AJR2" s="373"/>
      <c r="AJS2" s="373"/>
      <c r="AJT2" s="373"/>
      <c r="AJU2" s="373"/>
      <c r="AJV2" s="373"/>
      <c r="AJW2" s="373"/>
      <c r="AJX2" s="373"/>
      <c r="AJY2" s="373"/>
      <c r="AJZ2" s="373"/>
      <c r="AKA2" s="373"/>
      <c r="AKB2" s="373"/>
      <c r="AKC2" s="373"/>
      <c r="AKD2" s="373"/>
      <c r="AKE2" s="373"/>
      <c r="AKF2" s="373"/>
      <c r="AKG2" s="373"/>
      <c r="AKH2" s="373"/>
      <c r="AKI2" s="373"/>
      <c r="AKJ2" s="373"/>
      <c r="AKK2" s="373"/>
      <c r="AKL2" s="373"/>
      <c r="AKM2" s="373"/>
      <c r="AKN2" s="373"/>
      <c r="AKO2" s="373"/>
      <c r="AKP2" s="373"/>
      <c r="AKQ2" s="373"/>
      <c r="AKR2" s="373"/>
      <c r="AKS2" s="373"/>
      <c r="AKT2" s="373"/>
      <c r="AKU2" s="373"/>
      <c r="AKV2" s="373"/>
      <c r="AKW2" s="373"/>
      <c r="AKX2" s="373"/>
      <c r="AKY2" s="373"/>
    </row>
    <row r="3" spans="1:987" ht="18" customHeight="1" thickBot="1" x14ac:dyDescent="0.4">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row>
    <row r="4" spans="1:987" ht="25" customHeight="1" thickBot="1" x14ac:dyDescent="0.4">
      <c r="B4" s="532" t="s">
        <v>587</v>
      </c>
      <c r="C4" s="532"/>
      <c r="D4" s="532"/>
      <c r="E4" s="532"/>
      <c r="F4" s="532"/>
      <c r="G4" s="532"/>
      <c r="H4" s="532"/>
      <c r="I4" s="532"/>
      <c r="J4" s="532"/>
    </row>
    <row r="5" spans="1:987" ht="18" customHeight="1" thickBot="1" x14ac:dyDescent="0.4">
      <c r="E5" s="376" t="s">
        <v>589</v>
      </c>
      <c r="F5" s="377">
        <f>I53/'3. Report'!D17</f>
        <v>960984.12740927096</v>
      </c>
    </row>
    <row r="6" spans="1:987" ht="25" customHeight="1" thickBot="1" x14ac:dyDescent="0.4">
      <c r="B6" s="10" t="s">
        <v>353</v>
      </c>
      <c r="C6" s="10" t="s">
        <v>354</v>
      </c>
      <c r="D6" s="10" t="s">
        <v>201</v>
      </c>
      <c r="E6" s="10" t="s">
        <v>355</v>
      </c>
      <c r="F6" s="202" t="s">
        <v>356</v>
      </c>
      <c r="G6" s="202" t="s">
        <v>357</v>
      </c>
      <c r="H6" s="202" t="s">
        <v>358</v>
      </c>
      <c r="I6" s="10" t="s">
        <v>359</v>
      </c>
      <c r="J6" s="10" t="s">
        <v>360</v>
      </c>
    </row>
    <row r="7" spans="1:987" ht="18" customHeight="1" thickBot="1" x14ac:dyDescent="0.4">
      <c r="B7" s="98"/>
      <c r="C7" s="19" t="s">
        <v>361</v>
      </c>
      <c r="D7" s="21"/>
      <c r="E7" s="21"/>
      <c r="F7" s="203"/>
      <c r="G7" s="203"/>
      <c r="H7" s="203"/>
      <c r="I7" s="21"/>
      <c r="J7" s="121"/>
    </row>
    <row r="8" spans="1:987" ht="18" customHeight="1" thickBot="1" x14ac:dyDescent="0.4">
      <c r="B8" s="23">
        <v>1</v>
      </c>
      <c r="C8" s="272" t="s">
        <v>331</v>
      </c>
      <c r="D8" s="24">
        <f>'Backend Design '!D24</f>
        <v>41</v>
      </c>
      <c r="E8" s="23" t="s">
        <v>207</v>
      </c>
      <c r="F8" s="360">
        <v>85</v>
      </c>
      <c r="G8" s="135">
        <f>D8*F8*1000</f>
        <v>3485000</v>
      </c>
      <c r="H8" s="204"/>
      <c r="I8" s="123">
        <f>G8+H8</f>
        <v>3485000</v>
      </c>
      <c r="J8" s="118" t="s">
        <v>362</v>
      </c>
    </row>
    <row r="9" spans="1:987" ht="18" customHeight="1" thickBot="1" x14ac:dyDescent="0.4">
      <c r="B9" s="23">
        <v>2</v>
      </c>
      <c r="C9" s="272" t="s">
        <v>332</v>
      </c>
      <c r="D9" s="24">
        <f>'Backend Design '!D30</f>
        <v>2</v>
      </c>
      <c r="E9" s="23" t="s">
        <v>210</v>
      </c>
      <c r="F9" s="135">
        <f>VLOOKUP('Backend Design '!D29,'Reference Prices'!C58:D67,2)</f>
        <v>560000</v>
      </c>
      <c r="G9" s="204"/>
      <c r="H9" s="135">
        <f>D9*F9</f>
        <v>1120000</v>
      </c>
      <c r="I9" s="123">
        <f>G9+H9</f>
        <v>1120000</v>
      </c>
      <c r="J9" s="118" t="s">
        <v>363</v>
      </c>
      <c r="K9" s="119"/>
    </row>
    <row r="10" spans="1:987" ht="18" customHeight="1" thickBot="1" x14ac:dyDescent="0.4">
      <c r="B10" s="23">
        <v>3</v>
      </c>
      <c r="C10" s="272" t="s">
        <v>333</v>
      </c>
      <c r="D10" s="24">
        <f>'Backend Design '!D46</f>
        <v>9</v>
      </c>
      <c r="E10" s="23" t="s">
        <v>210</v>
      </c>
      <c r="F10" s="135">
        <f>IF('Reference Prices'!C71="Sunny Island SI 8.0H(6kW)",'Reference Prices'!D71,'Reference Prices'!D70)</f>
        <v>672400</v>
      </c>
      <c r="G10" s="204"/>
      <c r="H10" s="135">
        <f>D10*F10</f>
        <v>6051600</v>
      </c>
      <c r="I10" s="123">
        <f t="shared" ref="I10:I27" si="0">G10+H10</f>
        <v>6051600</v>
      </c>
      <c r="J10" s="118"/>
    </row>
    <row r="11" spans="1:987" ht="18" customHeight="1" thickBot="1" x14ac:dyDescent="0.4">
      <c r="B11" s="23">
        <v>4</v>
      </c>
      <c r="C11" s="272" t="s">
        <v>334</v>
      </c>
      <c r="D11" s="37">
        <f>'Backend Design '!D40</f>
        <v>109</v>
      </c>
      <c r="E11" s="23" t="s">
        <v>146</v>
      </c>
      <c r="F11" s="360">
        <v>42300</v>
      </c>
      <c r="G11" s="204"/>
      <c r="H11" s="135">
        <f>D11*F11</f>
        <v>4610700</v>
      </c>
      <c r="I11" s="123">
        <f>G11+H11</f>
        <v>4610700</v>
      </c>
      <c r="J11" s="118"/>
    </row>
    <row r="12" spans="1:987" ht="18" customHeight="1" thickBot="1" x14ac:dyDescent="0.4">
      <c r="B12" s="23">
        <v>5</v>
      </c>
      <c r="C12" s="272" t="s">
        <v>364</v>
      </c>
      <c r="D12" s="356">
        <v>1</v>
      </c>
      <c r="E12" s="23" t="s">
        <v>351</v>
      </c>
      <c r="F12" s="135">
        <f>VLOOKUP('Backend Design '!D47,'Reference Prices'!C76:D80,2)</f>
        <v>3050000</v>
      </c>
      <c r="G12" s="204"/>
      <c r="H12" s="135">
        <f t="shared" ref="H12:H27" si="1">D12*F12</f>
        <v>3050000</v>
      </c>
      <c r="I12" s="123">
        <f t="shared" si="0"/>
        <v>3050000</v>
      </c>
      <c r="J12" s="118"/>
    </row>
    <row r="13" spans="1:987" ht="18" customHeight="1" thickBot="1" x14ac:dyDescent="0.4">
      <c r="B13" s="23">
        <v>6</v>
      </c>
      <c r="C13" s="272" t="s">
        <v>335</v>
      </c>
      <c r="D13" s="24">
        <f>D8</f>
        <v>41</v>
      </c>
      <c r="E13" s="23" t="s">
        <v>351</v>
      </c>
      <c r="F13" s="360">
        <v>18000</v>
      </c>
      <c r="G13" s="204"/>
      <c r="H13" s="135">
        <f>D13*F13</f>
        <v>738000</v>
      </c>
      <c r="I13" s="123">
        <f t="shared" si="0"/>
        <v>738000</v>
      </c>
      <c r="J13" s="118"/>
    </row>
    <row r="14" spans="1:987" ht="18" customHeight="1" thickBot="1" x14ac:dyDescent="0.4">
      <c r="B14" s="23">
        <v>7</v>
      </c>
      <c r="C14" s="272" t="s">
        <v>365</v>
      </c>
      <c r="D14" s="24">
        <f>IF(D9&gt;=1,D9,0)</f>
        <v>2</v>
      </c>
      <c r="E14" s="23" t="s">
        <v>351</v>
      </c>
      <c r="F14" s="135">
        <f>'Reference Prices'!AG85</f>
        <v>82500</v>
      </c>
      <c r="G14" s="204"/>
      <c r="H14" s="135">
        <f t="shared" si="1"/>
        <v>165000</v>
      </c>
      <c r="I14" s="123">
        <f t="shared" si="0"/>
        <v>165000</v>
      </c>
      <c r="J14" s="118"/>
      <c r="K14" s="120"/>
    </row>
    <row r="15" spans="1:987" ht="18" customHeight="1" thickBot="1" x14ac:dyDescent="0.4">
      <c r="B15" s="23">
        <v>8</v>
      </c>
      <c r="C15" s="272" t="s">
        <v>366</v>
      </c>
      <c r="D15" s="356">
        <v>1</v>
      </c>
      <c r="E15" s="23" t="s">
        <v>351</v>
      </c>
      <c r="F15" s="135">
        <f>'Reference Prices'!AG86</f>
        <v>28000</v>
      </c>
      <c r="G15" s="204"/>
      <c r="H15" s="135">
        <f t="shared" si="1"/>
        <v>28000</v>
      </c>
      <c r="I15" s="123">
        <f t="shared" si="0"/>
        <v>28000</v>
      </c>
      <c r="J15" s="118"/>
    </row>
    <row r="16" spans="1:987" ht="18" customHeight="1" thickBot="1" x14ac:dyDescent="0.4">
      <c r="B16" s="23">
        <v>9</v>
      </c>
      <c r="C16" s="272" t="s">
        <v>367</v>
      </c>
      <c r="D16" s="356">
        <v>1</v>
      </c>
      <c r="E16" s="23" t="s">
        <v>351</v>
      </c>
      <c r="F16" s="135">
        <f>'Reference Prices'!AG87</f>
        <v>212000</v>
      </c>
      <c r="G16" s="204"/>
      <c r="H16" s="135">
        <f t="shared" si="1"/>
        <v>212000</v>
      </c>
      <c r="I16" s="123">
        <f t="shared" si="0"/>
        <v>212000</v>
      </c>
      <c r="J16" s="118"/>
    </row>
    <row r="17" spans="2:10" ht="18" customHeight="1" thickBot="1" x14ac:dyDescent="0.4">
      <c r="B17" s="23">
        <v>10</v>
      </c>
      <c r="C17" s="272" t="s">
        <v>368</v>
      </c>
      <c r="D17" s="356">
        <v>1</v>
      </c>
      <c r="E17" s="23" t="s">
        <v>351</v>
      </c>
      <c r="F17" s="135">
        <f>'Reference Prices'!AG88</f>
        <v>29000</v>
      </c>
      <c r="G17" s="204"/>
      <c r="H17" s="135">
        <f t="shared" si="1"/>
        <v>29000</v>
      </c>
      <c r="I17" s="123">
        <f t="shared" si="0"/>
        <v>29000</v>
      </c>
      <c r="J17" s="118"/>
    </row>
    <row r="18" spans="2:10" ht="18" customHeight="1" thickBot="1" x14ac:dyDescent="0.4">
      <c r="B18" s="23">
        <v>11</v>
      </c>
      <c r="C18" s="272" t="s">
        <v>369</v>
      </c>
      <c r="D18" s="356">
        <v>1</v>
      </c>
      <c r="E18" s="23" t="s">
        <v>351</v>
      </c>
      <c r="F18" s="135">
        <f>'Reference Prices'!AG89</f>
        <v>156000</v>
      </c>
      <c r="G18" s="204"/>
      <c r="H18" s="135">
        <f t="shared" si="1"/>
        <v>156000</v>
      </c>
      <c r="I18" s="123">
        <f t="shared" si="0"/>
        <v>156000</v>
      </c>
      <c r="J18" s="118"/>
    </row>
    <row r="19" spans="2:10" ht="18" customHeight="1" thickBot="1" x14ac:dyDescent="0.4">
      <c r="B19" s="23">
        <v>12</v>
      </c>
      <c r="C19" s="272" t="s">
        <v>370</v>
      </c>
      <c r="D19" s="356">
        <v>1</v>
      </c>
      <c r="E19" s="23" t="s">
        <v>351</v>
      </c>
      <c r="F19" s="135">
        <f>'Reference Prices'!AG90</f>
        <v>9000</v>
      </c>
      <c r="G19" s="204"/>
      <c r="H19" s="135">
        <f t="shared" si="1"/>
        <v>9000</v>
      </c>
      <c r="I19" s="123">
        <f t="shared" si="0"/>
        <v>9000</v>
      </c>
      <c r="J19" s="118"/>
    </row>
    <row r="20" spans="2:10" ht="18" customHeight="1" thickBot="1" x14ac:dyDescent="0.4">
      <c r="B20" s="23">
        <v>13</v>
      </c>
      <c r="C20" s="272" t="s">
        <v>371</v>
      </c>
      <c r="D20" s="356">
        <v>1</v>
      </c>
      <c r="E20" s="23" t="s">
        <v>210</v>
      </c>
      <c r="F20" s="135">
        <f>'Reference Prices'!AG91</f>
        <v>50000</v>
      </c>
      <c r="G20" s="204"/>
      <c r="H20" s="135">
        <f t="shared" si="1"/>
        <v>50000</v>
      </c>
      <c r="I20" s="123">
        <f t="shared" si="0"/>
        <v>50000</v>
      </c>
      <c r="J20" s="118"/>
    </row>
    <row r="21" spans="2:10" ht="18" customHeight="1" thickBot="1" x14ac:dyDescent="0.4">
      <c r="B21" s="23">
        <v>14</v>
      </c>
      <c r="C21" s="272" t="s">
        <v>372</v>
      </c>
      <c r="D21" s="356">
        <v>1</v>
      </c>
      <c r="E21" s="23" t="s">
        <v>210</v>
      </c>
      <c r="F21" s="135">
        <f>'Reference Prices'!AG92</f>
        <v>33000</v>
      </c>
      <c r="G21" s="204"/>
      <c r="H21" s="135">
        <f t="shared" si="1"/>
        <v>33000</v>
      </c>
      <c r="I21" s="123">
        <f t="shared" si="0"/>
        <v>33000</v>
      </c>
      <c r="J21" s="118"/>
    </row>
    <row r="22" spans="2:10" ht="18" customHeight="1" thickBot="1" x14ac:dyDescent="0.4">
      <c r="B22" s="23">
        <v>15</v>
      </c>
      <c r="C22" s="272" t="s">
        <v>373</v>
      </c>
      <c r="D22" s="356">
        <v>1</v>
      </c>
      <c r="E22" s="23" t="s">
        <v>210</v>
      </c>
      <c r="F22" s="135">
        <f>'Reference Prices'!AG93</f>
        <v>108000</v>
      </c>
      <c r="G22" s="204"/>
      <c r="H22" s="135">
        <f t="shared" si="1"/>
        <v>108000</v>
      </c>
      <c r="I22" s="123">
        <f t="shared" si="0"/>
        <v>108000</v>
      </c>
      <c r="J22" s="118"/>
    </row>
    <row r="23" spans="2:10" ht="18" customHeight="1" thickBot="1" x14ac:dyDescent="0.4">
      <c r="B23" s="23">
        <v>16</v>
      </c>
      <c r="C23" s="272" t="s">
        <v>374</v>
      </c>
      <c r="D23" s="356">
        <v>1</v>
      </c>
      <c r="E23" s="23" t="s">
        <v>210</v>
      </c>
      <c r="F23" s="135">
        <f>'Reference Prices'!AG94</f>
        <v>680000</v>
      </c>
      <c r="G23" s="204"/>
      <c r="H23" s="135">
        <f t="shared" si="1"/>
        <v>680000</v>
      </c>
      <c r="I23" s="123">
        <f t="shared" si="0"/>
        <v>680000</v>
      </c>
      <c r="J23" s="118"/>
    </row>
    <row r="24" spans="2:10" ht="18" customHeight="1" thickBot="1" x14ac:dyDescent="0.4">
      <c r="B24" s="23">
        <v>17</v>
      </c>
      <c r="C24" s="272" t="s">
        <v>375</v>
      </c>
      <c r="D24" s="356">
        <v>1</v>
      </c>
      <c r="E24" s="23" t="s">
        <v>210</v>
      </c>
      <c r="F24" s="135">
        <f>'Reference Prices'!AG95</f>
        <v>178000</v>
      </c>
      <c r="G24" s="204"/>
      <c r="H24" s="135">
        <f t="shared" si="1"/>
        <v>178000</v>
      </c>
      <c r="I24" s="123">
        <f t="shared" si="0"/>
        <v>178000</v>
      </c>
      <c r="J24" s="118"/>
    </row>
    <row r="25" spans="2:10" ht="18" customHeight="1" thickBot="1" x14ac:dyDescent="0.4">
      <c r="B25" s="23">
        <v>18</v>
      </c>
      <c r="C25" s="272" t="s">
        <v>376</v>
      </c>
      <c r="D25" s="356">
        <v>1</v>
      </c>
      <c r="E25" s="23" t="s">
        <v>210</v>
      </c>
      <c r="F25" s="135">
        <f>'Reference Prices'!AG96</f>
        <v>9100</v>
      </c>
      <c r="G25" s="204"/>
      <c r="H25" s="135">
        <f t="shared" si="1"/>
        <v>9100</v>
      </c>
      <c r="I25" s="123">
        <f t="shared" si="0"/>
        <v>9100</v>
      </c>
      <c r="J25" s="118"/>
    </row>
    <row r="26" spans="2:10" ht="18" customHeight="1" thickBot="1" x14ac:dyDescent="0.4">
      <c r="B26" s="23">
        <v>19</v>
      </c>
      <c r="C26" s="272" t="s">
        <v>377</v>
      </c>
      <c r="D26" s="356">
        <v>1</v>
      </c>
      <c r="E26" s="23" t="s">
        <v>210</v>
      </c>
      <c r="F26" s="135">
        <f>'Reference Prices'!AG97</f>
        <v>3300</v>
      </c>
      <c r="G26" s="204"/>
      <c r="H26" s="135">
        <f t="shared" si="1"/>
        <v>3300</v>
      </c>
      <c r="I26" s="123">
        <f t="shared" si="0"/>
        <v>3300</v>
      </c>
      <c r="J26" s="118"/>
    </row>
    <row r="27" spans="2:10" ht="18" customHeight="1" thickBot="1" x14ac:dyDescent="0.4">
      <c r="B27" s="23">
        <v>20</v>
      </c>
      <c r="C27" s="272" t="s">
        <v>378</v>
      </c>
      <c r="D27" s="356">
        <v>1</v>
      </c>
      <c r="E27" s="23" t="s">
        <v>351</v>
      </c>
      <c r="F27" s="360">
        <v>130000</v>
      </c>
      <c r="G27" s="204"/>
      <c r="H27" s="135">
        <f t="shared" si="1"/>
        <v>130000</v>
      </c>
      <c r="I27" s="123">
        <f t="shared" si="0"/>
        <v>130000</v>
      </c>
      <c r="J27" s="118"/>
    </row>
    <row r="28" spans="2:10" ht="25" customHeight="1" thickBot="1" x14ac:dyDescent="0.4">
      <c r="B28" s="98"/>
      <c r="C28" s="533" t="s">
        <v>379</v>
      </c>
      <c r="D28" s="534"/>
      <c r="E28" s="534"/>
      <c r="F28" s="534"/>
      <c r="G28" s="534"/>
      <c r="H28" s="535"/>
      <c r="I28" s="122">
        <f>SUM(I8:I27)</f>
        <v>20845700</v>
      </c>
      <c r="J28" s="150"/>
    </row>
    <row r="29" spans="2:10" ht="18" customHeight="1" thickBot="1" x14ac:dyDescent="0.4"/>
    <row r="30" spans="2:10" ht="25" customHeight="1" thickBot="1" x14ac:dyDescent="0.4">
      <c r="B30" s="98"/>
      <c r="C30" s="541" t="s">
        <v>380</v>
      </c>
      <c r="D30" s="542"/>
      <c r="E30" s="542"/>
      <c r="F30" s="542"/>
      <c r="G30" s="542"/>
      <c r="H30" s="543"/>
      <c r="I30" s="122"/>
      <c r="J30" s="150"/>
    </row>
    <row r="31" spans="2:10" ht="27" thickBot="1" x14ac:dyDescent="0.4">
      <c r="B31" s="23">
        <v>1</v>
      </c>
      <c r="C31" s="272" t="s">
        <v>381</v>
      </c>
      <c r="D31" s="24">
        <f>'2. Inputs'!D27</f>
        <v>25</v>
      </c>
      <c r="E31" s="23" t="s">
        <v>330</v>
      </c>
      <c r="F31" s="135">
        <f>'Reference Prices'!G75</f>
        <v>1212.75</v>
      </c>
      <c r="G31" s="204"/>
      <c r="H31" s="135">
        <f>D31*F31</f>
        <v>30318.75</v>
      </c>
      <c r="I31" s="123">
        <f>G31+H31</f>
        <v>30318.75</v>
      </c>
      <c r="J31" s="118"/>
    </row>
    <row r="32" spans="2:10" ht="18" customHeight="1" thickBot="1" x14ac:dyDescent="0.4">
      <c r="B32" s="23">
        <v>2</v>
      </c>
      <c r="C32" s="272" t="s">
        <v>382</v>
      </c>
      <c r="D32" s="356">
        <v>4</v>
      </c>
      <c r="E32" s="23" t="s">
        <v>351</v>
      </c>
      <c r="F32" s="135">
        <f>'Reference Prices'!AT102</f>
        <v>14500</v>
      </c>
      <c r="G32" s="204"/>
      <c r="H32" s="135">
        <f t="shared" ref="H32:H50" si="2">D32*F32</f>
        <v>58000</v>
      </c>
      <c r="I32" s="123">
        <f t="shared" ref="I32:I50" si="3">G32+H32</f>
        <v>58000</v>
      </c>
      <c r="J32" s="118"/>
    </row>
    <row r="33" spans="2:10" ht="18" customHeight="1" thickBot="1" x14ac:dyDescent="0.4">
      <c r="B33" s="23">
        <v>3</v>
      </c>
      <c r="C33" s="272" t="s">
        <v>383</v>
      </c>
      <c r="D33" s="24">
        <f>(IF('2. Inputs'!D28="Known",
  IF('2. Inputs'!D29&lt;=0.5, 1, ROUNDUP('2. Inputs'!D29/('Backend Design '!D72), 0)),
  IF('2. Inputs'!D30&lt;=0.5, 1, ROUNDUP('2. Inputs'!D30/('Backend Design '!D72), 0))))*0.8</f>
        <v>312.8</v>
      </c>
      <c r="E33" s="23" t="s">
        <v>210</v>
      </c>
      <c r="F33" s="135">
        <f>'Reference Prices'!AT104</f>
        <v>21000</v>
      </c>
      <c r="G33" s="204"/>
      <c r="H33" s="135">
        <f>D33*F33</f>
        <v>6568800</v>
      </c>
      <c r="I33" s="123">
        <f t="shared" si="3"/>
        <v>6568800</v>
      </c>
      <c r="J33" s="118"/>
    </row>
    <row r="34" spans="2:10" ht="18" customHeight="1" thickBot="1" x14ac:dyDescent="0.4">
      <c r="B34" s="23">
        <v>4</v>
      </c>
      <c r="C34" s="272" t="s">
        <v>384</v>
      </c>
      <c r="D34" s="24">
        <f>(IF('2. Inputs'!D28="Known",
  IF('2. Inputs'!D29&lt;=0.5, 1, ROUNDUP('2. Inputs'!D29/('Backend Design '!D72), 0)),
  IF('2. Inputs'!D30&lt;=0.5, 1, ROUNDUP('2. Inputs'!D30/('Backend Design '!D72), 0))))*0.2</f>
        <v>78.2</v>
      </c>
      <c r="E34" s="23" t="s">
        <v>210</v>
      </c>
      <c r="F34" s="135">
        <f>AT105</f>
        <v>23368</v>
      </c>
      <c r="G34" s="204"/>
      <c r="H34" s="135">
        <f>D34*F34</f>
        <v>1827377.6</v>
      </c>
      <c r="I34" s="123">
        <f t="shared" si="3"/>
        <v>1827377.6</v>
      </c>
      <c r="J34" s="118" t="s">
        <v>385</v>
      </c>
    </row>
    <row r="35" spans="2:10" ht="22" customHeight="1" thickBot="1" x14ac:dyDescent="0.4">
      <c r="B35" s="23">
        <v>5</v>
      </c>
      <c r="C35" s="272" t="s">
        <v>386</v>
      </c>
      <c r="D35" s="208">
        <f>(IF('2. Inputs'!D28="Known", '2. Inputs'!D29/1000, '2. Inputs'!D30/1000))*0.2</f>
        <v>2.3431365393401746</v>
      </c>
      <c r="E35" s="23" t="s">
        <v>336</v>
      </c>
      <c r="F35" s="135">
        <f>F31*1000</f>
        <v>1212750</v>
      </c>
      <c r="G35" s="204"/>
      <c r="H35" s="135">
        <f>D35*F35</f>
        <v>2841638.8380847969</v>
      </c>
      <c r="I35" s="123">
        <f t="shared" si="3"/>
        <v>2841638.8380847969</v>
      </c>
      <c r="J35" s="118"/>
    </row>
    <row r="36" spans="2:10" ht="18" customHeight="1" thickBot="1" x14ac:dyDescent="0.4">
      <c r="B36" s="23">
        <v>6</v>
      </c>
      <c r="C36" s="272" t="s">
        <v>387</v>
      </c>
      <c r="D36" s="208">
        <f>(IF('2. Inputs'!D28="Known", '2. Inputs'!D29/1000, '2. Inputs'!D30/1000))*0.8</f>
        <v>9.3725461573606985</v>
      </c>
      <c r="E36" s="23" t="s">
        <v>336</v>
      </c>
      <c r="F36" s="135">
        <f>'Reference Prices'!G72*1000</f>
        <v>501875.00000000006</v>
      </c>
      <c r="G36" s="204"/>
      <c r="H36" s="135">
        <f>D36*F36</f>
        <v>4703846.6027254015</v>
      </c>
      <c r="I36" s="123">
        <f t="shared" si="3"/>
        <v>4703846.6027254015</v>
      </c>
      <c r="J36" s="118"/>
    </row>
    <row r="37" spans="2:10" ht="26.5" thickBot="1" x14ac:dyDescent="0.4">
      <c r="B37" s="23">
        <v>7</v>
      </c>
      <c r="C37" s="329" t="s">
        <v>339</v>
      </c>
      <c r="D37" s="342">
        <v>1</v>
      </c>
      <c r="E37" s="23" t="s">
        <v>248</v>
      </c>
      <c r="F37" s="135">
        <f>10%*(I35+I36)</f>
        <v>754548.54408101982</v>
      </c>
      <c r="G37" s="204"/>
      <c r="H37" s="135">
        <f t="shared" si="2"/>
        <v>754548.54408101982</v>
      </c>
      <c r="I37" s="123">
        <f t="shared" si="3"/>
        <v>754548.54408101982</v>
      </c>
      <c r="J37" s="118" t="s">
        <v>575</v>
      </c>
    </row>
    <row r="38" spans="2:10" thickBot="1" x14ac:dyDescent="0.4">
      <c r="B38" s="23">
        <v>8</v>
      </c>
      <c r="C38" s="272" t="s">
        <v>222</v>
      </c>
      <c r="D38" s="24">
        <f>ROUNDUP((D33+D34)*0.5,0)</f>
        <v>196</v>
      </c>
      <c r="E38" s="23" t="s">
        <v>210</v>
      </c>
      <c r="F38" s="135">
        <f>'Reference Prices'!AT111</f>
        <v>2050</v>
      </c>
      <c r="G38" s="204"/>
      <c r="H38" s="135">
        <f t="shared" si="2"/>
        <v>401800</v>
      </c>
      <c r="I38" s="123">
        <f t="shared" si="3"/>
        <v>401800</v>
      </c>
      <c r="J38" s="118" t="s">
        <v>574</v>
      </c>
    </row>
    <row r="39" spans="2:10" ht="39.5" thickBot="1" x14ac:dyDescent="0.4">
      <c r="B39" s="23">
        <v>9</v>
      </c>
      <c r="C39" s="272" t="s">
        <v>350</v>
      </c>
      <c r="D39" s="24">
        <f>('2. Inputs'!D6*20)/1000</f>
        <v>2</v>
      </c>
      <c r="E39" s="23" t="s">
        <v>336</v>
      </c>
      <c r="F39" s="135">
        <f>'Reference Prices'!AT112</f>
        <v>29675</v>
      </c>
      <c r="G39" s="204"/>
      <c r="H39" s="135">
        <f t="shared" si="2"/>
        <v>59350</v>
      </c>
      <c r="I39" s="123">
        <f t="shared" si="3"/>
        <v>59350</v>
      </c>
      <c r="J39" s="118" t="s">
        <v>341</v>
      </c>
    </row>
    <row r="40" spans="2:10" ht="39.5" thickBot="1" x14ac:dyDescent="0.4">
      <c r="B40" s="23">
        <v>10</v>
      </c>
      <c r="C40" s="272" t="s">
        <v>224</v>
      </c>
      <c r="D40" s="24">
        <f>IF('2. Inputs'!D28="Known",
  IF('2. Inputs'!D29&lt;=0.25, 1, ROUNDUP('2. Inputs'!D29*0.25/1000, 0)),
  IF('2. Inputs'!D30&lt;=0.25, 1, ROUNDUP('2. Inputs'!D30*0.25/1000, 0)))</f>
        <v>3</v>
      </c>
      <c r="E40" s="23" t="s">
        <v>210</v>
      </c>
      <c r="F40" s="135">
        <f>'Reference Prices'!AT113</f>
        <v>910</v>
      </c>
      <c r="G40" s="204"/>
      <c r="H40" s="135">
        <f t="shared" si="2"/>
        <v>2730</v>
      </c>
      <c r="I40" s="123">
        <f t="shared" si="3"/>
        <v>2730</v>
      </c>
      <c r="J40" s="118" t="s">
        <v>337</v>
      </c>
    </row>
    <row r="41" spans="2:10" ht="29" customHeight="1" thickBot="1" x14ac:dyDescent="0.4">
      <c r="B41" s="23">
        <v>11</v>
      </c>
      <c r="C41" s="272" t="s">
        <v>226</v>
      </c>
      <c r="D41" s="342">
        <v>1</v>
      </c>
      <c r="E41" s="23" t="s">
        <v>210</v>
      </c>
      <c r="F41" s="135">
        <f>'Reference Prices'!AT114</f>
        <v>20000</v>
      </c>
      <c r="G41" s="204"/>
      <c r="H41" s="135">
        <f t="shared" si="2"/>
        <v>20000</v>
      </c>
      <c r="I41" s="123">
        <f t="shared" si="3"/>
        <v>20000</v>
      </c>
      <c r="J41" s="118" t="s">
        <v>338</v>
      </c>
    </row>
    <row r="42" spans="2:10" ht="27.5" customHeight="1" thickBot="1" x14ac:dyDescent="0.4">
      <c r="B42" s="23">
        <v>12</v>
      </c>
      <c r="C42" s="272" t="s">
        <v>388</v>
      </c>
      <c r="D42" s="24">
        <f>'2. Inputs'!D6*1.1</f>
        <v>110.00000000000001</v>
      </c>
      <c r="E42" s="23" t="s">
        <v>210</v>
      </c>
      <c r="F42" s="135">
        <f>'Reference Prices'!AT115</f>
        <v>6200</v>
      </c>
      <c r="G42" s="204"/>
      <c r="H42" s="135">
        <f t="shared" si="2"/>
        <v>682000.00000000012</v>
      </c>
      <c r="I42" s="123">
        <f t="shared" si="3"/>
        <v>682000.00000000012</v>
      </c>
      <c r="J42" s="118" t="s">
        <v>342</v>
      </c>
    </row>
    <row r="43" spans="2:10" ht="39.5" thickBot="1" x14ac:dyDescent="0.4">
      <c r="B43" s="23">
        <v>13</v>
      </c>
      <c r="C43" s="272" t="s">
        <v>389</v>
      </c>
      <c r="D43" s="24">
        <f>'2. Inputs'!D7-'2. Inputs'!D56+'2. Inputs'!D53</f>
        <v>23</v>
      </c>
      <c r="E43" s="23" t="s">
        <v>210</v>
      </c>
      <c r="F43" s="135">
        <f>'Reference Prices'!AT116</f>
        <v>11750</v>
      </c>
      <c r="G43" s="204"/>
      <c r="H43" s="135">
        <f t="shared" si="2"/>
        <v>270250</v>
      </c>
      <c r="I43" s="123">
        <f t="shared" si="3"/>
        <v>270250</v>
      </c>
      <c r="J43" s="118" t="s">
        <v>343</v>
      </c>
    </row>
    <row r="44" spans="2:10" ht="18" customHeight="1" thickBot="1" x14ac:dyDescent="0.4">
      <c r="B44" s="23">
        <v>14</v>
      </c>
      <c r="C44" s="272" t="s">
        <v>390</v>
      </c>
      <c r="D44" s="24">
        <f>'2. Inputs'!D53+'2. Inputs'!D56</f>
        <v>4</v>
      </c>
      <c r="E44" s="23" t="s">
        <v>210</v>
      </c>
      <c r="F44" s="135">
        <f>'Reference Prices'!AT117</f>
        <v>6200</v>
      </c>
      <c r="G44" s="204"/>
      <c r="H44" s="135">
        <f t="shared" si="2"/>
        <v>24800</v>
      </c>
      <c r="I44" s="123">
        <f t="shared" si="3"/>
        <v>24800</v>
      </c>
      <c r="J44" s="118" t="s">
        <v>344</v>
      </c>
    </row>
    <row r="45" spans="2:10" ht="18" customHeight="1" thickBot="1" x14ac:dyDescent="0.4">
      <c r="B45" s="23">
        <v>15</v>
      </c>
      <c r="C45" s="272" t="s">
        <v>241</v>
      </c>
      <c r="D45" s="24">
        <f>D42</f>
        <v>110.00000000000001</v>
      </c>
      <c r="E45" s="23" t="s">
        <v>210</v>
      </c>
      <c r="F45" s="135">
        <f>'Reference Prices'!AT118</f>
        <v>760</v>
      </c>
      <c r="G45" s="204"/>
      <c r="H45" s="135">
        <f t="shared" si="2"/>
        <v>83600.000000000015</v>
      </c>
      <c r="I45" s="123">
        <f t="shared" si="3"/>
        <v>83600.000000000015</v>
      </c>
      <c r="J45" s="118"/>
    </row>
    <row r="46" spans="2:10" ht="18" customHeight="1" thickBot="1" x14ac:dyDescent="0.4">
      <c r="B46" s="23">
        <v>16</v>
      </c>
      <c r="C46" s="272" t="s">
        <v>391</v>
      </c>
      <c r="D46" s="24">
        <f>D43</f>
        <v>23</v>
      </c>
      <c r="E46" s="23" t="s">
        <v>210</v>
      </c>
      <c r="F46" s="135">
        <f>'Reference Prices'!AT119</f>
        <v>1100</v>
      </c>
      <c r="G46" s="204"/>
      <c r="H46" s="135">
        <f t="shared" si="2"/>
        <v>25300</v>
      </c>
      <c r="I46" s="123">
        <f t="shared" si="3"/>
        <v>25300</v>
      </c>
      <c r="J46" s="118"/>
    </row>
    <row r="47" spans="2:10" ht="18" customHeight="1" thickBot="1" x14ac:dyDescent="0.4">
      <c r="B47" s="23">
        <v>17</v>
      </c>
      <c r="C47" s="272" t="s">
        <v>392</v>
      </c>
      <c r="D47" s="24">
        <f>D44</f>
        <v>4</v>
      </c>
      <c r="E47" s="23" t="s">
        <v>210</v>
      </c>
      <c r="F47" s="135">
        <f>'Reference Prices'!AT120</f>
        <v>3122.2222222222222</v>
      </c>
      <c r="G47" s="204"/>
      <c r="H47" s="135">
        <f t="shared" si="2"/>
        <v>12488.888888888889</v>
      </c>
      <c r="I47" s="123">
        <f t="shared" si="3"/>
        <v>12488.888888888889</v>
      </c>
      <c r="J47" s="118"/>
    </row>
    <row r="48" spans="2:10" ht="26.5" thickBot="1" x14ac:dyDescent="0.4">
      <c r="B48" s="23">
        <v>18</v>
      </c>
      <c r="C48" s="272" t="s">
        <v>345</v>
      </c>
      <c r="D48" s="24">
        <f>'2. Inputs'!D6*6</f>
        <v>600</v>
      </c>
      <c r="E48" s="23" t="s">
        <v>210</v>
      </c>
      <c r="F48" s="135">
        <f>'Reference Prices'!AT121</f>
        <v>310</v>
      </c>
      <c r="G48" s="204"/>
      <c r="H48" s="135">
        <f t="shared" si="2"/>
        <v>186000</v>
      </c>
      <c r="I48" s="123">
        <f t="shared" si="3"/>
        <v>186000</v>
      </c>
      <c r="J48" s="118" t="s">
        <v>346</v>
      </c>
    </row>
    <row r="49" spans="2:10" ht="18" customHeight="1" thickBot="1" x14ac:dyDescent="0.4">
      <c r="B49" s="23">
        <v>19</v>
      </c>
      <c r="C49" s="272" t="s">
        <v>347</v>
      </c>
      <c r="D49" s="356">
        <v>1</v>
      </c>
      <c r="E49" s="23" t="s">
        <v>210</v>
      </c>
      <c r="F49" s="135">
        <f>'Reference Prices'!AT122</f>
        <v>1800</v>
      </c>
      <c r="G49" s="204"/>
      <c r="H49" s="135">
        <f t="shared" si="2"/>
        <v>1800</v>
      </c>
      <c r="I49" s="123">
        <f t="shared" si="3"/>
        <v>1800</v>
      </c>
      <c r="J49" s="118"/>
    </row>
    <row r="50" spans="2:10" ht="29" customHeight="1" thickBot="1" x14ac:dyDescent="0.4">
      <c r="B50" s="23">
        <v>20</v>
      </c>
      <c r="C50" s="272" t="s">
        <v>393</v>
      </c>
      <c r="D50" s="356">
        <v>2</v>
      </c>
      <c r="E50" s="23" t="s">
        <v>351</v>
      </c>
      <c r="F50" s="360">
        <v>0</v>
      </c>
      <c r="G50" s="204"/>
      <c r="H50" s="135">
        <f t="shared" si="2"/>
        <v>0</v>
      </c>
      <c r="I50" s="123">
        <f t="shared" si="3"/>
        <v>0</v>
      </c>
      <c r="J50" s="118"/>
    </row>
    <row r="51" spans="2:10" ht="25" customHeight="1" thickBot="1" x14ac:dyDescent="0.4">
      <c r="B51" s="98"/>
      <c r="C51" s="533" t="s">
        <v>586</v>
      </c>
      <c r="D51" s="534"/>
      <c r="E51" s="534"/>
      <c r="F51" s="534"/>
      <c r="G51" s="534"/>
      <c r="H51" s="535"/>
      <c r="I51" s="122">
        <f>SUM(I31:I50)</f>
        <v>18554649.223780107</v>
      </c>
      <c r="J51" s="118"/>
    </row>
    <row r="52" spans="2:10" ht="18" customHeight="1" thickBot="1" x14ac:dyDescent="0.4">
      <c r="C52" s="374"/>
      <c r="D52" s="374"/>
      <c r="E52" s="374"/>
      <c r="F52" s="375"/>
      <c r="G52" s="375"/>
      <c r="H52" s="375"/>
    </row>
    <row r="53" spans="2:10" ht="25" customHeight="1" thickBot="1" x14ac:dyDescent="0.4">
      <c r="B53" s="98"/>
      <c r="C53" s="533" t="s">
        <v>585</v>
      </c>
      <c r="D53" s="534"/>
      <c r="E53" s="534"/>
      <c r="F53" s="534"/>
      <c r="G53" s="534"/>
      <c r="H53" s="535"/>
      <c r="I53" s="122">
        <f>SUM(I51+I28)</f>
        <v>39400349.22378011</v>
      </c>
      <c r="J53" s="118"/>
    </row>
    <row r="54" spans="2:10" ht="16" thickBot="1" x14ac:dyDescent="0.4">
      <c r="B54" s="384" t="s">
        <v>588</v>
      </c>
    </row>
    <row r="55" spans="2:10" thickBot="1" x14ac:dyDescent="0.4">
      <c r="C55" s="102"/>
      <c r="D55" s="103"/>
      <c r="F55" s="381"/>
      <c r="G55" s="381"/>
      <c r="H55" s="382"/>
      <c r="I55" s="383"/>
      <c r="J55" s="383"/>
    </row>
    <row r="56" spans="2:10" ht="25" customHeight="1" thickBot="1" x14ac:dyDescent="0.4">
      <c r="B56" s="35"/>
      <c r="C56" s="538" t="s">
        <v>517</v>
      </c>
      <c r="D56" s="540"/>
      <c r="F56" s="139"/>
      <c r="G56" s="483" t="s">
        <v>507</v>
      </c>
      <c r="H56" s="505"/>
      <c r="I56" s="505"/>
      <c r="J56" s="505"/>
    </row>
    <row r="57" spans="2:10" thickBot="1" x14ac:dyDescent="0.4">
      <c r="B57" s="73"/>
      <c r="C57" s="536" t="s">
        <v>512</v>
      </c>
      <c r="D57" s="537"/>
      <c r="F57" s="31"/>
      <c r="G57" s="160" t="s">
        <v>508</v>
      </c>
      <c r="H57" s="31" t="s">
        <v>394</v>
      </c>
      <c r="I57" s="514" t="s">
        <v>360</v>
      </c>
      <c r="J57" s="515"/>
    </row>
    <row r="58" spans="2:10" thickBot="1" x14ac:dyDescent="0.4">
      <c r="B58" s="38"/>
      <c r="C58" s="38" t="s">
        <v>498</v>
      </c>
      <c r="D58" s="38" t="s">
        <v>394</v>
      </c>
      <c r="F58" s="23"/>
      <c r="G58" s="159" t="s">
        <v>509</v>
      </c>
      <c r="H58" s="328">
        <v>85000</v>
      </c>
      <c r="I58" s="507" t="s">
        <v>510</v>
      </c>
      <c r="J58" s="507"/>
    </row>
    <row r="59" spans="2:10" thickBot="1" x14ac:dyDescent="0.4">
      <c r="B59" s="38"/>
      <c r="C59" s="23">
        <v>3</v>
      </c>
      <c r="D59" s="365">
        <v>280000</v>
      </c>
      <c r="F59" s="23"/>
      <c r="G59" s="159" t="s">
        <v>511</v>
      </c>
      <c r="H59" s="328">
        <v>5500</v>
      </c>
      <c r="I59" s="507" t="s">
        <v>510</v>
      </c>
      <c r="J59" s="507"/>
    </row>
    <row r="60" spans="2:10" thickBot="1" x14ac:dyDescent="0.4">
      <c r="B60" s="38"/>
      <c r="C60" s="23">
        <v>4</v>
      </c>
      <c r="D60" s="365">
        <v>320000</v>
      </c>
    </row>
    <row r="61" spans="2:10" thickBot="1" x14ac:dyDescent="0.4">
      <c r="B61" s="38"/>
      <c r="C61" s="23">
        <v>5</v>
      </c>
      <c r="D61" s="365">
        <v>355000</v>
      </c>
    </row>
    <row r="62" spans="2:10" thickBot="1" x14ac:dyDescent="0.4">
      <c r="B62" s="38"/>
      <c r="C62" s="23">
        <v>7.5</v>
      </c>
      <c r="D62" s="365">
        <v>390000</v>
      </c>
    </row>
    <row r="63" spans="2:10" thickBot="1" x14ac:dyDescent="0.4">
      <c r="B63" s="38"/>
      <c r="C63" s="23">
        <v>9</v>
      </c>
      <c r="D63" s="365">
        <v>420000</v>
      </c>
    </row>
    <row r="64" spans="2:10" thickBot="1" x14ac:dyDescent="0.4">
      <c r="B64" s="38"/>
      <c r="C64" s="23">
        <v>12</v>
      </c>
      <c r="D64" s="365">
        <v>490000</v>
      </c>
      <c r="F64" s="99"/>
      <c r="G64" s="99"/>
      <c r="H64" s="99"/>
    </row>
    <row r="65" spans="2:9" thickBot="1" x14ac:dyDescent="0.4">
      <c r="B65" s="38"/>
      <c r="C65" s="23">
        <v>15</v>
      </c>
      <c r="D65" s="365">
        <v>510000</v>
      </c>
    </row>
    <row r="66" spans="2:9" thickBot="1" x14ac:dyDescent="0.4">
      <c r="B66" s="38"/>
      <c r="C66" s="23">
        <v>20</v>
      </c>
      <c r="D66" s="365">
        <v>560000</v>
      </c>
    </row>
    <row r="67" spans="2:9" thickBot="1" x14ac:dyDescent="0.4">
      <c r="B67" s="38"/>
      <c r="C67" s="23">
        <v>25</v>
      </c>
      <c r="D67" s="365">
        <v>590000</v>
      </c>
    </row>
    <row r="68" spans="2:9" thickBot="1" x14ac:dyDescent="0.4">
      <c r="B68" s="277"/>
      <c r="C68" s="277"/>
      <c r="D68" s="277"/>
    </row>
    <row r="69" spans="2:9" ht="25" customHeight="1" thickBot="1" x14ac:dyDescent="0.4">
      <c r="B69" s="35"/>
      <c r="C69" s="538" t="s">
        <v>518</v>
      </c>
      <c r="D69" s="539"/>
      <c r="F69" s="483" t="s">
        <v>514</v>
      </c>
      <c r="G69" s="505"/>
      <c r="H69" s="505"/>
      <c r="I69" s="484"/>
    </row>
    <row r="70" spans="2:9" thickBot="1" x14ac:dyDescent="0.4">
      <c r="B70" s="38"/>
      <c r="C70" s="38" t="s">
        <v>348</v>
      </c>
      <c r="D70" s="338">
        <v>603440</v>
      </c>
      <c r="F70" s="31" t="s">
        <v>498</v>
      </c>
      <c r="G70" s="31" t="s">
        <v>394</v>
      </c>
      <c r="H70" s="31" t="s">
        <v>360</v>
      </c>
      <c r="I70" s="31"/>
    </row>
    <row r="71" spans="2:9" thickBot="1" x14ac:dyDescent="0.4">
      <c r="B71" s="38"/>
      <c r="C71" s="38" t="s">
        <v>349</v>
      </c>
      <c r="D71" s="338">
        <v>672400</v>
      </c>
      <c r="F71" s="23">
        <v>25</v>
      </c>
      <c r="G71" s="328">
        <f>300*1.25*1.1</f>
        <v>412.50000000000006</v>
      </c>
      <c r="H71" s="366" t="s">
        <v>515</v>
      </c>
      <c r="I71" s="366"/>
    </row>
    <row r="72" spans="2:9" thickBot="1" x14ac:dyDescent="0.4">
      <c r="B72" s="277"/>
      <c r="C72" s="277"/>
      <c r="D72" s="277"/>
      <c r="F72" s="23">
        <v>35</v>
      </c>
      <c r="G72" s="328">
        <f>365*1.25*1.1</f>
        <v>501.87500000000006</v>
      </c>
      <c r="H72" s="366" t="s">
        <v>515</v>
      </c>
      <c r="I72" s="366"/>
    </row>
    <row r="73" spans="2:9" ht="25" customHeight="1" thickBot="1" x14ac:dyDescent="0.4">
      <c r="B73" s="35"/>
      <c r="C73" s="538" t="s">
        <v>519</v>
      </c>
      <c r="D73" s="539"/>
      <c r="F73" s="23">
        <v>50</v>
      </c>
      <c r="G73" s="328">
        <f>505*1.25*1.1</f>
        <v>694.375</v>
      </c>
      <c r="H73" s="366" t="s">
        <v>515</v>
      </c>
      <c r="I73" s="366"/>
    </row>
    <row r="74" spans="2:9" thickBot="1" x14ac:dyDescent="0.4">
      <c r="B74" s="73"/>
      <c r="C74" s="536" t="s">
        <v>520</v>
      </c>
      <c r="D74" s="537"/>
      <c r="F74" s="23">
        <v>70</v>
      </c>
      <c r="G74" s="328">
        <f>667*1.25*1.1</f>
        <v>917.12500000000011</v>
      </c>
      <c r="H74" s="366" t="s">
        <v>515</v>
      </c>
      <c r="I74" s="366"/>
    </row>
    <row r="75" spans="2:9" thickBot="1" x14ac:dyDescent="0.4">
      <c r="B75" s="38"/>
      <c r="C75" s="38" t="s">
        <v>498</v>
      </c>
      <c r="D75" s="38" t="s">
        <v>394</v>
      </c>
      <c r="F75" s="23">
        <v>95</v>
      </c>
      <c r="G75" s="328">
        <f>882*1.25*1.1</f>
        <v>1212.75</v>
      </c>
      <c r="H75" s="366" t="s">
        <v>515</v>
      </c>
      <c r="I75" s="366"/>
    </row>
    <row r="76" spans="2:9" thickBot="1" x14ac:dyDescent="0.4">
      <c r="B76" s="38" t="s">
        <v>521</v>
      </c>
      <c r="C76" s="23">
        <v>3</v>
      </c>
      <c r="D76" s="365">
        <v>125000</v>
      </c>
      <c r="F76" s="501">
        <v>0.1</v>
      </c>
      <c r="G76" s="502"/>
      <c r="H76" s="500" t="s">
        <v>516</v>
      </c>
      <c r="I76" s="500"/>
    </row>
    <row r="77" spans="2:9" thickBot="1" x14ac:dyDescent="0.4">
      <c r="B77" s="38" t="s">
        <v>522</v>
      </c>
      <c r="C77" s="23">
        <v>6</v>
      </c>
      <c r="D77" s="365">
        <v>790000</v>
      </c>
    </row>
    <row r="78" spans="2:9" thickBot="1" x14ac:dyDescent="0.4">
      <c r="B78" s="38" t="s">
        <v>522</v>
      </c>
      <c r="C78" s="23">
        <v>9</v>
      </c>
      <c r="D78" s="365">
        <v>1160000</v>
      </c>
    </row>
    <row r="79" spans="2:9" thickBot="1" x14ac:dyDescent="0.4">
      <c r="B79" s="38" t="s">
        <v>522</v>
      </c>
      <c r="C79" s="23">
        <v>12</v>
      </c>
      <c r="D79" s="365">
        <v>1160000</v>
      </c>
    </row>
    <row r="80" spans="2:9" thickBot="1" x14ac:dyDescent="0.4">
      <c r="B80" s="38" t="s">
        <v>522</v>
      </c>
      <c r="C80" s="23">
        <v>36</v>
      </c>
      <c r="D80" s="365">
        <v>3050000</v>
      </c>
    </row>
    <row r="82" spans="2:33" ht="35" customHeight="1" thickBot="1" x14ac:dyDescent="0.4">
      <c r="B82" s="483" t="s">
        <v>465</v>
      </c>
      <c r="C82" s="505"/>
      <c r="D82" s="505"/>
      <c r="E82" s="484"/>
      <c r="F82" s="529" t="s">
        <v>466</v>
      </c>
      <c r="G82" s="530"/>
      <c r="H82" s="531"/>
      <c r="I82" s="483" t="s">
        <v>467</v>
      </c>
      <c r="J82" s="505"/>
      <c r="K82" s="484"/>
      <c r="L82" s="483" t="s">
        <v>468</v>
      </c>
      <c r="M82" s="505"/>
      <c r="N82" s="484"/>
      <c r="O82" s="529" t="s">
        <v>523</v>
      </c>
      <c r="P82" s="530"/>
      <c r="Q82" s="531"/>
      <c r="R82" s="483" t="s">
        <v>524</v>
      </c>
      <c r="S82" s="505"/>
      <c r="T82" s="484"/>
      <c r="U82" s="483" t="s">
        <v>525</v>
      </c>
      <c r="V82" s="505"/>
      <c r="W82" s="484"/>
      <c r="X82" s="529" t="s">
        <v>472</v>
      </c>
      <c r="Y82" s="530"/>
      <c r="Z82" s="531"/>
      <c r="AA82" s="483" t="s">
        <v>526</v>
      </c>
      <c r="AB82" s="505"/>
      <c r="AC82" s="484"/>
      <c r="AD82" s="483" t="s">
        <v>527</v>
      </c>
      <c r="AE82" s="505"/>
      <c r="AF82" s="484"/>
      <c r="AG82" s="202" t="s">
        <v>463</v>
      </c>
    </row>
    <row r="83" spans="2:33" s="142" customFormat="1" ht="29.5" thickBot="1" x14ac:dyDescent="0.4">
      <c r="B83" s="361" t="s">
        <v>464</v>
      </c>
      <c r="C83" s="73" t="s">
        <v>201</v>
      </c>
      <c r="D83" s="136" t="s">
        <v>202</v>
      </c>
      <c r="E83" s="136" t="s">
        <v>478</v>
      </c>
      <c r="F83" s="362" t="s">
        <v>201</v>
      </c>
      <c r="G83" s="362" t="s">
        <v>202</v>
      </c>
      <c r="H83" s="362" t="s">
        <v>478</v>
      </c>
      <c r="I83" s="136" t="s">
        <v>201</v>
      </c>
      <c r="J83" s="363" t="s">
        <v>202</v>
      </c>
      <c r="K83" s="361" t="s">
        <v>478</v>
      </c>
      <c r="L83" s="73" t="s">
        <v>201</v>
      </c>
      <c r="M83" s="136" t="s">
        <v>202</v>
      </c>
      <c r="N83" s="136" t="s">
        <v>478</v>
      </c>
      <c r="O83" s="362" t="s">
        <v>201</v>
      </c>
      <c r="P83" s="362" t="s">
        <v>202</v>
      </c>
      <c r="Q83" s="362" t="s">
        <v>478</v>
      </c>
      <c r="R83" s="136" t="s">
        <v>201</v>
      </c>
      <c r="S83" s="363" t="s">
        <v>202</v>
      </c>
      <c r="T83" s="361" t="s">
        <v>478</v>
      </c>
      <c r="U83" s="73" t="s">
        <v>201</v>
      </c>
      <c r="V83" s="136" t="s">
        <v>202</v>
      </c>
      <c r="W83" s="136" t="s">
        <v>478</v>
      </c>
      <c r="X83" s="362" t="s">
        <v>201</v>
      </c>
      <c r="Y83" s="362" t="s">
        <v>202</v>
      </c>
      <c r="Z83" s="362" t="s">
        <v>478</v>
      </c>
      <c r="AA83" s="136" t="s">
        <v>201</v>
      </c>
      <c r="AB83" s="363" t="s">
        <v>202</v>
      </c>
      <c r="AC83" s="361" t="s">
        <v>478</v>
      </c>
      <c r="AD83" s="73" t="s">
        <v>201</v>
      </c>
      <c r="AE83" s="136" t="s">
        <v>202</v>
      </c>
      <c r="AF83" s="136" t="s">
        <v>478</v>
      </c>
      <c r="AG83" s="362"/>
    </row>
    <row r="84" spans="2:33" thickBot="1" x14ac:dyDescent="0.4">
      <c r="B84" s="23" t="s">
        <v>528</v>
      </c>
      <c r="C84" s="23">
        <v>55.44</v>
      </c>
      <c r="D84" s="24" t="s">
        <v>492</v>
      </c>
      <c r="E84" s="23">
        <v>100000</v>
      </c>
      <c r="F84" s="135">
        <v>21.4</v>
      </c>
      <c r="G84" s="204" t="s">
        <v>492</v>
      </c>
      <c r="H84" s="135">
        <v>50000</v>
      </c>
      <c r="I84" s="123">
        <v>6.4</v>
      </c>
      <c r="J84" s="118" t="s">
        <v>492</v>
      </c>
      <c r="K84" s="23">
        <v>50000</v>
      </c>
      <c r="L84" s="23">
        <v>316</v>
      </c>
      <c r="M84" s="24" t="s">
        <v>492</v>
      </c>
      <c r="N84" s="23">
        <v>500000</v>
      </c>
      <c r="O84" s="135">
        <v>21.6</v>
      </c>
      <c r="P84" s="204" t="s">
        <v>492</v>
      </c>
      <c r="Q84" s="204">
        <v>50000</v>
      </c>
      <c r="R84" s="24">
        <v>12.32</v>
      </c>
      <c r="S84" s="118" t="s">
        <v>492</v>
      </c>
      <c r="T84" s="23">
        <v>50000</v>
      </c>
      <c r="U84" s="23">
        <v>63.6</v>
      </c>
      <c r="V84" s="24" t="s">
        <v>492</v>
      </c>
      <c r="W84" s="23">
        <v>50000</v>
      </c>
      <c r="X84" s="135">
        <v>95</v>
      </c>
      <c r="Y84" s="204" t="s">
        <v>492</v>
      </c>
      <c r="Z84" s="204">
        <v>100000</v>
      </c>
      <c r="AA84" s="24">
        <v>29.7</v>
      </c>
      <c r="AB84" s="118" t="s">
        <v>492</v>
      </c>
      <c r="AC84" s="23">
        <v>504900</v>
      </c>
      <c r="AD84" s="23">
        <v>10.5</v>
      </c>
      <c r="AE84" s="24" t="s">
        <v>492</v>
      </c>
      <c r="AF84" s="23">
        <v>18000</v>
      </c>
      <c r="AG84" s="135">
        <f t="shared" ref="AG84:AG97" si="4">AVERAGE(AF84,AC84,Z84,W84,T84,Q84,N84,K84,H84,E84)</f>
        <v>147290</v>
      </c>
    </row>
    <row r="85" spans="2:33" thickBot="1" x14ac:dyDescent="0.4">
      <c r="B85" s="23" t="s">
        <v>529</v>
      </c>
      <c r="C85" s="23">
        <v>1</v>
      </c>
      <c r="D85" s="24" t="s">
        <v>351</v>
      </c>
      <c r="E85" s="23">
        <v>75000</v>
      </c>
      <c r="F85" s="135">
        <v>1</v>
      </c>
      <c r="G85" s="204" t="s">
        <v>351</v>
      </c>
      <c r="H85" s="135">
        <v>75000</v>
      </c>
      <c r="I85" s="123">
        <v>1</v>
      </c>
      <c r="J85" s="118" t="s">
        <v>351</v>
      </c>
      <c r="K85" s="23">
        <v>75000</v>
      </c>
      <c r="L85" s="23">
        <v>1</v>
      </c>
      <c r="M85" s="24" t="s">
        <v>351</v>
      </c>
      <c r="N85" s="23">
        <v>75000</v>
      </c>
      <c r="O85" s="135">
        <v>1</v>
      </c>
      <c r="P85" s="204" t="s">
        <v>351</v>
      </c>
      <c r="Q85" s="135">
        <v>75000</v>
      </c>
      <c r="R85" s="24">
        <v>1</v>
      </c>
      <c r="S85" s="118" t="s">
        <v>351</v>
      </c>
      <c r="T85" s="23">
        <v>75000</v>
      </c>
      <c r="U85" s="23">
        <v>1</v>
      </c>
      <c r="V85" s="24" t="s">
        <v>351</v>
      </c>
      <c r="W85" s="23">
        <v>75000</v>
      </c>
      <c r="X85" s="135">
        <v>1</v>
      </c>
      <c r="Y85" s="204" t="s">
        <v>351</v>
      </c>
      <c r="Z85" s="135">
        <v>75000</v>
      </c>
      <c r="AA85" s="24">
        <v>1</v>
      </c>
      <c r="AB85" s="118" t="s">
        <v>351</v>
      </c>
      <c r="AC85" s="23">
        <v>150000</v>
      </c>
      <c r="AD85" s="23">
        <v>1</v>
      </c>
      <c r="AE85" s="24" t="s">
        <v>351</v>
      </c>
      <c r="AF85" s="23">
        <v>75000</v>
      </c>
      <c r="AG85" s="135">
        <f t="shared" si="4"/>
        <v>82500</v>
      </c>
    </row>
    <row r="86" spans="2:33" ht="26.5" thickBot="1" x14ac:dyDescent="0.4">
      <c r="B86" s="23" t="s">
        <v>530</v>
      </c>
      <c r="C86" s="23">
        <v>1</v>
      </c>
      <c r="D86" s="24" t="s">
        <v>351</v>
      </c>
      <c r="E86" s="23">
        <v>25000</v>
      </c>
      <c r="F86" s="135">
        <v>1</v>
      </c>
      <c r="G86" s="204" t="s">
        <v>351</v>
      </c>
      <c r="H86" s="135">
        <v>25000</v>
      </c>
      <c r="I86" s="123">
        <v>1</v>
      </c>
      <c r="J86" s="118" t="s">
        <v>351</v>
      </c>
      <c r="K86" s="23">
        <v>25000</v>
      </c>
      <c r="L86" s="23">
        <v>1</v>
      </c>
      <c r="M86" s="24" t="s">
        <v>351</v>
      </c>
      <c r="N86" s="23">
        <v>25000</v>
      </c>
      <c r="O86" s="135">
        <v>1</v>
      </c>
      <c r="P86" s="204" t="s">
        <v>351</v>
      </c>
      <c r="Q86" s="135">
        <v>25000</v>
      </c>
      <c r="R86" s="24">
        <v>1</v>
      </c>
      <c r="S86" s="118" t="s">
        <v>351</v>
      </c>
      <c r="T86" s="23">
        <v>25000</v>
      </c>
      <c r="U86" s="23">
        <v>1</v>
      </c>
      <c r="V86" s="24" t="s">
        <v>351</v>
      </c>
      <c r="W86" s="23">
        <v>25000</v>
      </c>
      <c r="X86" s="135">
        <v>1</v>
      </c>
      <c r="Y86" s="204" t="s">
        <v>351</v>
      </c>
      <c r="Z86" s="135">
        <v>25000</v>
      </c>
      <c r="AA86" s="24">
        <v>1</v>
      </c>
      <c r="AB86" s="118" t="s">
        <v>351</v>
      </c>
      <c r="AC86" s="23">
        <v>40000</v>
      </c>
      <c r="AD86" s="23">
        <v>1</v>
      </c>
      <c r="AE86" s="24" t="s">
        <v>351</v>
      </c>
      <c r="AF86" s="23">
        <v>40000</v>
      </c>
      <c r="AG86" s="135">
        <f t="shared" si="4"/>
        <v>28000</v>
      </c>
    </row>
    <row r="87" spans="2:33" ht="52.5" thickBot="1" x14ac:dyDescent="0.4">
      <c r="B87" s="23" t="s">
        <v>367</v>
      </c>
      <c r="C87" s="23">
        <v>1</v>
      </c>
      <c r="D87" s="37" t="s">
        <v>351</v>
      </c>
      <c r="E87" s="23">
        <v>350000</v>
      </c>
      <c r="F87" s="135">
        <v>1</v>
      </c>
      <c r="G87" s="204" t="s">
        <v>351</v>
      </c>
      <c r="H87" s="135">
        <v>350000</v>
      </c>
      <c r="I87" s="123">
        <v>1</v>
      </c>
      <c r="J87" s="118" t="s">
        <v>351</v>
      </c>
      <c r="K87" s="23">
        <v>200000</v>
      </c>
      <c r="L87" s="23">
        <v>1</v>
      </c>
      <c r="M87" s="37" t="s">
        <v>351</v>
      </c>
      <c r="N87" s="23">
        <v>200000</v>
      </c>
      <c r="O87" s="135">
        <v>1</v>
      </c>
      <c r="P87" s="204" t="s">
        <v>351</v>
      </c>
      <c r="Q87" s="135">
        <v>200000</v>
      </c>
      <c r="R87" s="24">
        <v>1</v>
      </c>
      <c r="S87" s="118" t="s">
        <v>351</v>
      </c>
      <c r="T87" s="23">
        <v>200000</v>
      </c>
      <c r="U87" s="23">
        <v>1</v>
      </c>
      <c r="V87" s="37" t="s">
        <v>351</v>
      </c>
      <c r="W87" s="23">
        <v>200000</v>
      </c>
      <c r="X87" s="135">
        <v>1</v>
      </c>
      <c r="Y87" s="204" t="s">
        <v>351</v>
      </c>
      <c r="Z87" s="135">
        <v>200000</v>
      </c>
      <c r="AA87" s="24">
        <v>1</v>
      </c>
      <c r="AB87" s="118" t="s">
        <v>351</v>
      </c>
      <c r="AC87" s="23">
        <v>110000</v>
      </c>
      <c r="AD87" s="23">
        <v>1</v>
      </c>
      <c r="AE87" s="37" t="s">
        <v>351</v>
      </c>
      <c r="AF87" s="23">
        <v>110000</v>
      </c>
      <c r="AG87" s="135">
        <f t="shared" si="4"/>
        <v>212000</v>
      </c>
    </row>
    <row r="88" spans="2:33" thickBot="1" x14ac:dyDescent="0.4">
      <c r="B88" s="23" t="s">
        <v>368</v>
      </c>
      <c r="C88" s="23">
        <v>1</v>
      </c>
      <c r="D88" s="135" t="s">
        <v>351</v>
      </c>
      <c r="E88" s="23">
        <v>25000</v>
      </c>
      <c r="F88" s="135">
        <v>1</v>
      </c>
      <c r="G88" s="204" t="s">
        <v>351</v>
      </c>
      <c r="H88" s="135">
        <v>25000</v>
      </c>
      <c r="I88" s="123">
        <v>1</v>
      </c>
      <c r="J88" s="118" t="s">
        <v>351</v>
      </c>
      <c r="K88" s="23">
        <v>25000</v>
      </c>
      <c r="L88" s="23">
        <v>1</v>
      </c>
      <c r="M88" s="37" t="s">
        <v>351</v>
      </c>
      <c r="N88" s="23">
        <v>25000</v>
      </c>
      <c r="O88" s="135">
        <v>1</v>
      </c>
      <c r="P88" s="204" t="s">
        <v>351</v>
      </c>
      <c r="Q88" s="135">
        <v>25000</v>
      </c>
      <c r="R88" s="24">
        <v>1</v>
      </c>
      <c r="S88" s="118" t="s">
        <v>351</v>
      </c>
      <c r="T88" s="23">
        <v>25000</v>
      </c>
      <c r="U88" s="23">
        <v>1</v>
      </c>
      <c r="V88" s="37" t="s">
        <v>351</v>
      </c>
      <c r="W88" s="23">
        <v>25000</v>
      </c>
      <c r="X88" s="135">
        <v>1</v>
      </c>
      <c r="Y88" s="204" t="s">
        <v>351</v>
      </c>
      <c r="Z88" s="135">
        <v>25000</v>
      </c>
      <c r="AA88" s="24">
        <v>1</v>
      </c>
      <c r="AB88" s="118" t="s">
        <v>351</v>
      </c>
      <c r="AC88" s="23">
        <v>45000</v>
      </c>
      <c r="AD88" s="23">
        <v>1</v>
      </c>
      <c r="AE88" s="37" t="s">
        <v>351</v>
      </c>
      <c r="AF88" s="23">
        <v>45000</v>
      </c>
      <c r="AG88" s="135">
        <f t="shared" si="4"/>
        <v>29000</v>
      </c>
    </row>
    <row r="89" spans="2:33" ht="39.5" thickBot="1" x14ac:dyDescent="0.4">
      <c r="B89" s="23" t="s">
        <v>369</v>
      </c>
      <c r="C89" s="23">
        <v>1</v>
      </c>
      <c r="D89" s="24" t="s">
        <v>351</v>
      </c>
      <c r="E89" s="23">
        <v>150000</v>
      </c>
      <c r="F89" s="135">
        <v>1</v>
      </c>
      <c r="G89" s="204" t="s">
        <v>351</v>
      </c>
      <c r="H89" s="135">
        <v>150000</v>
      </c>
      <c r="I89" s="123">
        <v>1</v>
      </c>
      <c r="J89" s="118" t="s">
        <v>351</v>
      </c>
      <c r="K89" s="23">
        <v>150000</v>
      </c>
      <c r="L89" s="23">
        <v>1</v>
      </c>
      <c r="M89" s="24" t="s">
        <v>351</v>
      </c>
      <c r="N89" s="23">
        <v>150000</v>
      </c>
      <c r="O89" s="135">
        <v>1</v>
      </c>
      <c r="P89" s="204" t="s">
        <v>351</v>
      </c>
      <c r="Q89" s="135">
        <v>150000</v>
      </c>
      <c r="R89" s="24">
        <v>1</v>
      </c>
      <c r="S89" s="118" t="s">
        <v>351</v>
      </c>
      <c r="T89" s="23">
        <v>150000</v>
      </c>
      <c r="U89" s="23">
        <v>1</v>
      </c>
      <c r="V89" s="24" t="s">
        <v>351</v>
      </c>
      <c r="W89" s="23">
        <v>150000</v>
      </c>
      <c r="X89" s="135">
        <v>1</v>
      </c>
      <c r="Y89" s="204" t="s">
        <v>351</v>
      </c>
      <c r="Z89" s="135">
        <v>150000</v>
      </c>
      <c r="AA89" s="24">
        <v>1</v>
      </c>
      <c r="AB89" s="118" t="s">
        <v>351</v>
      </c>
      <c r="AC89" s="23">
        <v>180000</v>
      </c>
      <c r="AD89" s="23">
        <v>1</v>
      </c>
      <c r="AE89" s="24" t="s">
        <v>351</v>
      </c>
      <c r="AF89" s="23">
        <v>180000</v>
      </c>
      <c r="AG89" s="135">
        <f t="shared" si="4"/>
        <v>156000</v>
      </c>
    </row>
    <row r="90" spans="2:33" ht="26.5" thickBot="1" x14ac:dyDescent="0.4">
      <c r="B90" s="23" t="s">
        <v>370</v>
      </c>
      <c r="C90" s="23">
        <v>1</v>
      </c>
      <c r="D90" s="24" t="s">
        <v>231</v>
      </c>
      <c r="E90" s="23">
        <v>10000</v>
      </c>
      <c r="F90" s="135">
        <v>1</v>
      </c>
      <c r="G90" s="23" t="s">
        <v>231</v>
      </c>
      <c r="H90" s="135">
        <v>10000</v>
      </c>
      <c r="I90" s="123">
        <v>1</v>
      </c>
      <c r="J90" s="118" t="s">
        <v>231</v>
      </c>
      <c r="K90" s="23">
        <v>10000</v>
      </c>
      <c r="L90" s="23">
        <v>1</v>
      </c>
      <c r="M90" s="24" t="s">
        <v>231</v>
      </c>
      <c r="N90" s="23">
        <v>10000</v>
      </c>
      <c r="O90" s="135">
        <v>1</v>
      </c>
      <c r="P90" s="23" t="s">
        <v>231</v>
      </c>
      <c r="Q90" s="135">
        <v>10000</v>
      </c>
      <c r="R90" s="24">
        <v>1</v>
      </c>
      <c r="S90" s="118" t="s">
        <v>231</v>
      </c>
      <c r="T90" s="23">
        <v>10000</v>
      </c>
      <c r="U90" s="23">
        <v>1</v>
      </c>
      <c r="V90" s="24" t="s">
        <v>231</v>
      </c>
      <c r="W90" s="23">
        <v>10000</v>
      </c>
      <c r="X90" s="135">
        <v>1</v>
      </c>
      <c r="Y90" s="23" t="s">
        <v>231</v>
      </c>
      <c r="Z90" s="135">
        <v>10000</v>
      </c>
      <c r="AA90" s="24">
        <v>1</v>
      </c>
      <c r="AB90" s="118" t="s">
        <v>231</v>
      </c>
      <c r="AC90" s="23">
        <v>5000</v>
      </c>
      <c r="AD90" s="23">
        <v>1</v>
      </c>
      <c r="AE90" s="24" t="s">
        <v>231</v>
      </c>
      <c r="AF90" s="23">
        <v>5000</v>
      </c>
      <c r="AG90" s="135">
        <f t="shared" si="4"/>
        <v>9000</v>
      </c>
    </row>
    <row r="91" spans="2:33" thickBot="1" x14ac:dyDescent="0.4">
      <c r="B91" s="23" t="s">
        <v>371</v>
      </c>
      <c r="C91" s="23">
        <v>1</v>
      </c>
      <c r="D91" s="24" t="s">
        <v>231</v>
      </c>
      <c r="E91" s="23">
        <v>50000</v>
      </c>
      <c r="F91" s="135">
        <v>1</v>
      </c>
      <c r="G91" s="23" t="s">
        <v>231</v>
      </c>
      <c r="H91" s="135">
        <v>50000</v>
      </c>
      <c r="I91" s="123">
        <v>1</v>
      </c>
      <c r="J91" s="118" t="s">
        <v>231</v>
      </c>
      <c r="K91" s="23">
        <v>50000</v>
      </c>
      <c r="L91" s="23">
        <v>1</v>
      </c>
      <c r="M91" s="24" t="s">
        <v>231</v>
      </c>
      <c r="N91" s="23">
        <v>50000</v>
      </c>
      <c r="O91" s="135">
        <v>1</v>
      </c>
      <c r="P91" s="23" t="s">
        <v>231</v>
      </c>
      <c r="Q91" s="135">
        <v>50000</v>
      </c>
      <c r="R91" s="24">
        <v>1</v>
      </c>
      <c r="S91" s="118" t="s">
        <v>231</v>
      </c>
      <c r="T91" s="23">
        <v>50000</v>
      </c>
      <c r="U91" s="23">
        <v>1</v>
      </c>
      <c r="V91" s="24" t="s">
        <v>231</v>
      </c>
      <c r="W91" s="23">
        <v>50000</v>
      </c>
      <c r="X91" s="135">
        <v>1</v>
      </c>
      <c r="Y91" s="23" t="s">
        <v>231</v>
      </c>
      <c r="Z91" s="135">
        <v>50000</v>
      </c>
      <c r="AA91" s="24">
        <v>1</v>
      </c>
      <c r="AB91" s="118" t="s">
        <v>231</v>
      </c>
      <c r="AC91" s="23">
        <v>50000</v>
      </c>
      <c r="AD91" s="23">
        <v>1</v>
      </c>
      <c r="AE91" s="24" t="s">
        <v>231</v>
      </c>
      <c r="AF91" s="23">
        <v>50000</v>
      </c>
      <c r="AG91" s="135">
        <f t="shared" si="4"/>
        <v>50000</v>
      </c>
    </row>
    <row r="92" spans="2:33" thickBot="1" x14ac:dyDescent="0.4">
      <c r="B92" s="23" t="s">
        <v>372</v>
      </c>
      <c r="C92" s="23">
        <v>1</v>
      </c>
      <c r="D92" s="24" t="s">
        <v>231</v>
      </c>
      <c r="E92" s="23">
        <v>33000</v>
      </c>
      <c r="F92" s="135">
        <v>1</v>
      </c>
      <c r="G92" s="204" t="s">
        <v>231</v>
      </c>
      <c r="H92" s="135">
        <v>33000</v>
      </c>
      <c r="I92" s="123">
        <v>1</v>
      </c>
      <c r="J92" s="118" t="s">
        <v>231</v>
      </c>
      <c r="K92" s="23">
        <v>33000</v>
      </c>
      <c r="L92" s="23">
        <v>1</v>
      </c>
      <c r="M92" s="24" t="s">
        <v>231</v>
      </c>
      <c r="N92" s="23">
        <v>33000</v>
      </c>
      <c r="O92" s="135">
        <v>1</v>
      </c>
      <c r="P92" s="135" t="s">
        <v>231</v>
      </c>
      <c r="Q92" s="135">
        <v>33000</v>
      </c>
      <c r="R92" s="24">
        <v>1</v>
      </c>
      <c r="S92" s="118" t="s">
        <v>231</v>
      </c>
      <c r="T92" s="23">
        <v>33000</v>
      </c>
      <c r="U92" s="23">
        <v>1</v>
      </c>
      <c r="V92" s="24" t="s">
        <v>231</v>
      </c>
      <c r="W92" s="23">
        <v>33000</v>
      </c>
      <c r="X92" s="135">
        <v>1</v>
      </c>
      <c r="Y92" s="204" t="s">
        <v>231</v>
      </c>
      <c r="Z92" s="135">
        <v>33000</v>
      </c>
      <c r="AA92" s="24">
        <v>1</v>
      </c>
      <c r="AB92" s="118" t="s">
        <v>231</v>
      </c>
      <c r="AC92" s="23">
        <v>33000</v>
      </c>
      <c r="AD92" s="23">
        <v>1</v>
      </c>
      <c r="AE92" s="24" t="s">
        <v>231</v>
      </c>
      <c r="AF92" s="23">
        <v>33000</v>
      </c>
      <c r="AG92" s="135">
        <f t="shared" si="4"/>
        <v>33000</v>
      </c>
    </row>
    <row r="93" spans="2:33" ht="26.5" thickBot="1" x14ac:dyDescent="0.4">
      <c r="B93" s="23" t="s">
        <v>373</v>
      </c>
      <c r="C93" s="23">
        <v>1</v>
      </c>
      <c r="D93" s="24" t="s">
        <v>231</v>
      </c>
      <c r="E93" s="23">
        <v>100000</v>
      </c>
      <c r="F93" s="135">
        <v>1</v>
      </c>
      <c r="G93" s="204" t="s">
        <v>231</v>
      </c>
      <c r="H93" s="135">
        <v>100000</v>
      </c>
      <c r="I93" s="123">
        <v>1</v>
      </c>
      <c r="J93" s="118" t="s">
        <v>231</v>
      </c>
      <c r="K93" s="23">
        <v>100000</v>
      </c>
      <c r="L93" s="23">
        <v>1</v>
      </c>
      <c r="M93" s="24" t="s">
        <v>231</v>
      </c>
      <c r="N93" s="23">
        <v>100000</v>
      </c>
      <c r="O93" s="135">
        <v>1</v>
      </c>
      <c r="P93" s="204" t="s">
        <v>231</v>
      </c>
      <c r="Q93" s="135">
        <v>100000</v>
      </c>
      <c r="R93" s="24">
        <v>1</v>
      </c>
      <c r="S93" s="118" t="s">
        <v>231</v>
      </c>
      <c r="T93" s="23">
        <v>100000</v>
      </c>
      <c r="U93" s="23">
        <v>1</v>
      </c>
      <c r="V93" s="24" t="s">
        <v>231</v>
      </c>
      <c r="W93" s="23">
        <v>100000</v>
      </c>
      <c r="X93" s="135">
        <v>1</v>
      </c>
      <c r="Y93" s="204" t="s">
        <v>231</v>
      </c>
      <c r="Z93" s="135">
        <v>100000</v>
      </c>
      <c r="AA93" s="24">
        <v>1</v>
      </c>
      <c r="AB93" s="118" t="s">
        <v>231</v>
      </c>
      <c r="AC93" s="23">
        <v>140000</v>
      </c>
      <c r="AD93" s="23">
        <v>1</v>
      </c>
      <c r="AE93" s="24" t="s">
        <v>231</v>
      </c>
      <c r="AF93" s="23">
        <v>140000</v>
      </c>
      <c r="AG93" s="135">
        <f t="shared" si="4"/>
        <v>108000</v>
      </c>
    </row>
    <row r="94" spans="2:33" thickBot="1" x14ac:dyDescent="0.4">
      <c r="B94" s="23" t="s">
        <v>374</v>
      </c>
      <c r="C94" s="23">
        <v>1</v>
      </c>
      <c r="D94" s="24" t="s">
        <v>492</v>
      </c>
      <c r="E94" s="23">
        <v>1000000</v>
      </c>
      <c r="F94" s="135">
        <v>1</v>
      </c>
      <c r="G94" s="204" t="s">
        <v>492</v>
      </c>
      <c r="H94" s="135">
        <v>700000</v>
      </c>
      <c r="I94" s="123">
        <v>1</v>
      </c>
      <c r="J94" s="118" t="s">
        <v>492</v>
      </c>
      <c r="K94" s="23">
        <v>500000</v>
      </c>
      <c r="L94" s="23">
        <v>1</v>
      </c>
      <c r="M94" s="24" t="s">
        <v>492</v>
      </c>
      <c r="N94" s="23">
        <v>800000</v>
      </c>
      <c r="O94" s="135">
        <v>1</v>
      </c>
      <c r="P94" s="204" t="s">
        <v>492</v>
      </c>
      <c r="Q94" s="135">
        <v>700000</v>
      </c>
      <c r="R94" s="24">
        <v>1</v>
      </c>
      <c r="S94" s="118" t="s">
        <v>492</v>
      </c>
      <c r="T94" s="23">
        <v>500000</v>
      </c>
      <c r="U94" s="23">
        <v>1</v>
      </c>
      <c r="V94" s="24" t="s">
        <v>492</v>
      </c>
      <c r="W94" s="23">
        <v>500000</v>
      </c>
      <c r="X94" s="135">
        <v>1</v>
      </c>
      <c r="Y94" s="204" t="s">
        <v>492</v>
      </c>
      <c r="Z94" s="135">
        <v>700000</v>
      </c>
      <c r="AA94" s="24">
        <v>1</v>
      </c>
      <c r="AB94" s="118" t="s">
        <v>492</v>
      </c>
      <c r="AC94" s="23">
        <v>700000</v>
      </c>
      <c r="AD94" s="23">
        <v>1</v>
      </c>
      <c r="AE94" s="24" t="s">
        <v>492</v>
      </c>
      <c r="AF94" s="23">
        <v>700000</v>
      </c>
      <c r="AG94" s="135">
        <f t="shared" si="4"/>
        <v>680000</v>
      </c>
    </row>
    <row r="95" spans="2:33" ht="26.5" thickBot="1" x14ac:dyDescent="0.4">
      <c r="B95" s="23" t="s">
        <v>375</v>
      </c>
      <c r="C95" s="23">
        <v>1</v>
      </c>
      <c r="D95" s="37" t="s">
        <v>351</v>
      </c>
      <c r="E95" s="23">
        <v>200000</v>
      </c>
      <c r="F95" s="135">
        <v>1</v>
      </c>
      <c r="G95" s="204" t="s">
        <v>351</v>
      </c>
      <c r="H95" s="135">
        <v>200000</v>
      </c>
      <c r="I95" s="123">
        <v>1</v>
      </c>
      <c r="J95" s="118" t="s">
        <v>351</v>
      </c>
      <c r="K95" s="23">
        <v>200000</v>
      </c>
      <c r="L95" s="23">
        <v>1</v>
      </c>
      <c r="M95" s="37" t="s">
        <v>351</v>
      </c>
      <c r="N95" s="23">
        <v>200000</v>
      </c>
      <c r="O95" s="135">
        <v>1</v>
      </c>
      <c r="P95" s="204" t="s">
        <v>351</v>
      </c>
      <c r="Q95" s="135">
        <v>200000</v>
      </c>
      <c r="R95" s="24">
        <v>1</v>
      </c>
      <c r="S95" s="118" t="s">
        <v>351</v>
      </c>
      <c r="T95" s="23">
        <v>200000</v>
      </c>
      <c r="U95" s="23">
        <v>1</v>
      </c>
      <c r="V95" s="37" t="s">
        <v>351</v>
      </c>
      <c r="W95" s="23">
        <v>200000</v>
      </c>
      <c r="X95" s="135">
        <v>1</v>
      </c>
      <c r="Y95" s="204" t="s">
        <v>351</v>
      </c>
      <c r="Z95" s="135">
        <v>200000</v>
      </c>
      <c r="AA95" s="24">
        <v>1</v>
      </c>
      <c r="AB95" s="118" t="s">
        <v>351</v>
      </c>
      <c r="AC95" s="23">
        <v>90000</v>
      </c>
      <c r="AD95" s="23">
        <v>1</v>
      </c>
      <c r="AE95" s="37" t="s">
        <v>351</v>
      </c>
      <c r="AF95" s="23">
        <v>90000</v>
      </c>
      <c r="AG95" s="135">
        <f t="shared" si="4"/>
        <v>178000</v>
      </c>
    </row>
    <row r="96" spans="2:33" thickBot="1" x14ac:dyDescent="0.4">
      <c r="B96" s="23" t="s">
        <v>376</v>
      </c>
      <c r="C96" s="23">
        <v>1</v>
      </c>
      <c r="D96" s="135" t="s">
        <v>351</v>
      </c>
      <c r="E96" s="23">
        <v>15000</v>
      </c>
      <c r="F96" s="135">
        <v>1</v>
      </c>
      <c r="G96" s="204" t="s">
        <v>351</v>
      </c>
      <c r="H96" s="135">
        <v>15000</v>
      </c>
      <c r="I96" s="123">
        <v>1</v>
      </c>
      <c r="J96" s="118" t="s">
        <v>351</v>
      </c>
      <c r="K96" s="23">
        <v>7500</v>
      </c>
      <c r="L96" s="23">
        <v>1</v>
      </c>
      <c r="M96" s="37" t="s">
        <v>351</v>
      </c>
      <c r="N96" s="23">
        <v>7500</v>
      </c>
      <c r="O96" s="135">
        <v>1</v>
      </c>
      <c r="P96" s="204" t="s">
        <v>351</v>
      </c>
      <c r="Q96" s="135">
        <v>7500</v>
      </c>
      <c r="R96" s="24">
        <v>1</v>
      </c>
      <c r="S96" s="118" t="s">
        <v>351</v>
      </c>
      <c r="T96" s="23">
        <v>7500</v>
      </c>
      <c r="U96" s="23">
        <v>1</v>
      </c>
      <c r="V96" s="135" t="s">
        <v>351</v>
      </c>
      <c r="W96" s="23">
        <v>7500</v>
      </c>
      <c r="X96" s="135">
        <v>1</v>
      </c>
      <c r="Y96" s="204" t="s">
        <v>351</v>
      </c>
      <c r="Z96" s="135">
        <v>7500</v>
      </c>
      <c r="AA96" s="24">
        <v>1</v>
      </c>
      <c r="AB96" s="118" t="s">
        <v>351</v>
      </c>
      <c r="AC96" s="23">
        <v>8000</v>
      </c>
      <c r="AD96" s="23">
        <v>1</v>
      </c>
      <c r="AE96" s="37" t="s">
        <v>351</v>
      </c>
      <c r="AF96" s="23">
        <v>8000</v>
      </c>
      <c r="AG96" s="135">
        <f t="shared" si="4"/>
        <v>9100</v>
      </c>
    </row>
    <row r="97" spans="2:47" thickBot="1" x14ac:dyDescent="0.4">
      <c r="B97" s="23" t="s">
        <v>377</v>
      </c>
      <c r="C97" s="23">
        <v>1</v>
      </c>
      <c r="D97" s="24" t="s">
        <v>351</v>
      </c>
      <c r="E97" s="23">
        <v>4000</v>
      </c>
      <c r="F97" s="135">
        <v>1</v>
      </c>
      <c r="G97" s="204" t="s">
        <v>351</v>
      </c>
      <c r="H97" s="135">
        <v>4000</v>
      </c>
      <c r="I97" s="123">
        <v>1</v>
      </c>
      <c r="J97" s="118" t="s">
        <v>351</v>
      </c>
      <c r="K97" s="23">
        <v>4000</v>
      </c>
      <c r="L97" s="23">
        <v>1</v>
      </c>
      <c r="M97" s="24" t="s">
        <v>351</v>
      </c>
      <c r="N97" s="23">
        <v>3000</v>
      </c>
      <c r="O97" s="135">
        <v>1</v>
      </c>
      <c r="P97" s="204" t="s">
        <v>351</v>
      </c>
      <c r="Q97" s="135">
        <v>3000</v>
      </c>
      <c r="R97" s="24">
        <v>1</v>
      </c>
      <c r="S97" s="118" t="s">
        <v>351</v>
      </c>
      <c r="T97" s="23">
        <v>3000</v>
      </c>
      <c r="U97" s="23">
        <v>1</v>
      </c>
      <c r="V97" s="24" t="s">
        <v>351</v>
      </c>
      <c r="W97" s="23">
        <v>3000</v>
      </c>
      <c r="X97" s="135">
        <v>1</v>
      </c>
      <c r="Y97" s="204" t="s">
        <v>351</v>
      </c>
      <c r="Z97" s="135">
        <v>3000</v>
      </c>
      <c r="AA97" s="24">
        <v>1</v>
      </c>
      <c r="AB97" s="118" t="s">
        <v>351</v>
      </c>
      <c r="AC97" s="23">
        <v>3000</v>
      </c>
      <c r="AD97" s="23">
        <v>1</v>
      </c>
      <c r="AE97" s="24" t="s">
        <v>351</v>
      </c>
      <c r="AF97" s="23">
        <v>3000</v>
      </c>
      <c r="AG97" s="135">
        <f t="shared" si="4"/>
        <v>3300</v>
      </c>
    </row>
    <row r="99" spans="2:47" ht="25" customHeight="1" thickBot="1" x14ac:dyDescent="0.4">
      <c r="B99" s="503"/>
      <c r="C99" s="525" t="s">
        <v>464</v>
      </c>
      <c r="D99" s="526"/>
      <c r="E99" s="483" t="s">
        <v>465</v>
      </c>
      <c r="F99" s="505"/>
      <c r="G99" s="505"/>
      <c r="H99" s="506"/>
      <c r="I99" s="505" t="s">
        <v>466</v>
      </c>
      <c r="J99" s="505"/>
      <c r="K99" s="505"/>
      <c r="L99" s="506"/>
      <c r="M99" s="505" t="s">
        <v>467</v>
      </c>
      <c r="N99" s="505"/>
      <c r="O99" s="505"/>
      <c r="P99" s="506"/>
      <c r="Q99" s="505" t="s">
        <v>468</v>
      </c>
      <c r="R99" s="505"/>
      <c r="S99" s="505"/>
      <c r="T99" s="506"/>
      <c r="U99" s="505" t="s">
        <v>469</v>
      </c>
      <c r="V99" s="505"/>
      <c r="W99" s="505"/>
      <c r="X99" s="506"/>
      <c r="Y99" s="505" t="s">
        <v>470</v>
      </c>
      <c r="Z99" s="505"/>
      <c r="AA99" s="505"/>
      <c r="AB99" s="506"/>
      <c r="AC99" s="505" t="s">
        <v>471</v>
      </c>
      <c r="AD99" s="505"/>
      <c r="AE99" s="505"/>
      <c r="AF99" s="506"/>
      <c r="AG99" s="505" t="s">
        <v>472</v>
      </c>
      <c r="AH99" s="505"/>
      <c r="AI99" s="505"/>
      <c r="AJ99" s="506"/>
      <c r="AK99" s="505" t="s">
        <v>473</v>
      </c>
      <c r="AL99" s="505"/>
      <c r="AM99" s="505"/>
      <c r="AN99" s="506"/>
      <c r="AO99" s="522" t="s">
        <v>474</v>
      </c>
      <c r="AP99" s="505"/>
      <c r="AQ99" s="505"/>
      <c r="AR99" s="484"/>
      <c r="AS99" s="519" t="s">
        <v>395</v>
      </c>
      <c r="AT99" s="519" t="s">
        <v>475</v>
      </c>
      <c r="AU99" s="521" t="s">
        <v>476</v>
      </c>
    </row>
    <row r="100" spans="2:47" ht="26.5" thickBot="1" x14ac:dyDescent="0.4">
      <c r="B100" s="504"/>
      <c r="C100" s="527"/>
      <c r="D100" s="528"/>
      <c r="E100" s="31" t="s">
        <v>201</v>
      </c>
      <c r="F100" s="31" t="s">
        <v>202</v>
      </c>
      <c r="G100" s="31" t="s">
        <v>477</v>
      </c>
      <c r="H100" s="46" t="s">
        <v>478</v>
      </c>
      <c r="I100" s="43" t="s">
        <v>201</v>
      </c>
      <c r="J100" s="31" t="s">
        <v>202</v>
      </c>
      <c r="K100" s="31" t="s">
        <v>477</v>
      </c>
      <c r="L100" s="46" t="s">
        <v>478</v>
      </c>
      <c r="M100" s="43" t="s">
        <v>201</v>
      </c>
      <c r="N100" s="31" t="s">
        <v>202</v>
      </c>
      <c r="O100" s="31" t="s">
        <v>477</v>
      </c>
      <c r="P100" s="46" t="s">
        <v>478</v>
      </c>
      <c r="Q100" s="43" t="s">
        <v>201</v>
      </c>
      <c r="R100" s="31" t="s">
        <v>202</v>
      </c>
      <c r="S100" s="31" t="s">
        <v>477</v>
      </c>
      <c r="T100" s="46" t="s">
        <v>478</v>
      </c>
      <c r="U100" s="43" t="s">
        <v>201</v>
      </c>
      <c r="V100" s="31" t="s">
        <v>202</v>
      </c>
      <c r="W100" s="31" t="s">
        <v>477</v>
      </c>
      <c r="X100" s="46" t="s">
        <v>478</v>
      </c>
      <c r="Y100" s="43" t="s">
        <v>201</v>
      </c>
      <c r="Z100" s="31" t="s">
        <v>202</v>
      </c>
      <c r="AA100" s="31" t="s">
        <v>477</v>
      </c>
      <c r="AB100" s="46" t="s">
        <v>478</v>
      </c>
      <c r="AC100" s="43" t="s">
        <v>201</v>
      </c>
      <c r="AD100" s="31" t="s">
        <v>202</v>
      </c>
      <c r="AE100" s="31" t="s">
        <v>477</v>
      </c>
      <c r="AF100" s="46" t="s">
        <v>478</v>
      </c>
      <c r="AG100" s="43" t="s">
        <v>201</v>
      </c>
      <c r="AH100" s="31" t="s">
        <v>202</v>
      </c>
      <c r="AI100" s="31" t="s">
        <v>477</v>
      </c>
      <c r="AJ100" s="46" t="s">
        <v>478</v>
      </c>
      <c r="AK100" s="43" t="s">
        <v>201</v>
      </c>
      <c r="AL100" s="31" t="s">
        <v>202</v>
      </c>
      <c r="AM100" s="31" t="s">
        <v>477</v>
      </c>
      <c r="AN100" s="46" t="s">
        <v>478</v>
      </c>
      <c r="AO100" s="43" t="s">
        <v>201</v>
      </c>
      <c r="AP100" s="31" t="s">
        <v>202</v>
      </c>
      <c r="AQ100" s="31" t="s">
        <v>477</v>
      </c>
      <c r="AR100" s="31" t="s">
        <v>478</v>
      </c>
      <c r="AS100" s="520"/>
      <c r="AT100" s="520"/>
      <c r="AU100" s="512"/>
    </row>
    <row r="101" spans="2:47" thickBot="1" x14ac:dyDescent="0.4">
      <c r="B101" s="19"/>
      <c r="C101" s="523" t="s">
        <v>479</v>
      </c>
      <c r="D101" s="524"/>
      <c r="E101" s="23">
        <v>100</v>
      </c>
      <c r="F101" s="23" t="s">
        <v>330</v>
      </c>
      <c r="G101" s="330">
        <v>60</v>
      </c>
      <c r="H101" s="331">
        <v>6000</v>
      </c>
      <c r="I101" s="44">
        <v>100</v>
      </c>
      <c r="J101" s="23" t="s">
        <v>330</v>
      </c>
      <c r="K101" s="331">
        <f>L101/I101</f>
        <v>60</v>
      </c>
      <c r="L101" s="331">
        <v>6000</v>
      </c>
      <c r="M101" s="44">
        <v>100</v>
      </c>
      <c r="N101" s="23" t="s">
        <v>330</v>
      </c>
      <c r="O101" s="331">
        <f>P101/M101</f>
        <v>60</v>
      </c>
      <c r="P101" s="331">
        <v>6000</v>
      </c>
      <c r="Q101" s="44">
        <v>100</v>
      </c>
      <c r="R101" s="23" t="s">
        <v>330</v>
      </c>
      <c r="S101" s="331">
        <f>T101/Q101</f>
        <v>60</v>
      </c>
      <c r="T101" s="331">
        <v>6000</v>
      </c>
      <c r="U101" s="44">
        <v>100</v>
      </c>
      <c r="V101" s="23" t="s">
        <v>330</v>
      </c>
      <c r="W101" s="331">
        <f>X101/U101</f>
        <v>60</v>
      </c>
      <c r="X101" s="331">
        <v>6000</v>
      </c>
      <c r="Y101" s="44">
        <v>100</v>
      </c>
      <c r="Z101" s="23" t="s">
        <v>330</v>
      </c>
      <c r="AA101" s="331">
        <f>AB101/Y101</f>
        <v>60</v>
      </c>
      <c r="AB101" s="331">
        <v>6000</v>
      </c>
      <c r="AC101" s="44">
        <v>100</v>
      </c>
      <c r="AD101" s="23" t="s">
        <v>330</v>
      </c>
      <c r="AE101" s="331">
        <f>AF101/AC101</f>
        <v>60</v>
      </c>
      <c r="AF101" s="331">
        <v>6000</v>
      </c>
      <c r="AG101" s="44">
        <v>100</v>
      </c>
      <c r="AH101" s="23" t="s">
        <v>330</v>
      </c>
      <c r="AI101" s="331">
        <f>AJ101/AG101</f>
        <v>60</v>
      </c>
      <c r="AJ101" s="331">
        <v>6000</v>
      </c>
      <c r="AK101" s="44">
        <v>20</v>
      </c>
      <c r="AL101" s="23" t="s">
        <v>330</v>
      </c>
      <c r="AM101" s="331">
        <f>AN101/AK101</f>
        <v>2500</v>
      </c>
      <c r="AN101" s="331">
        <v>50000</v>
      </c>
      <c r="AO101" s="44">
        <v>10</v>
      </c>
      <c r="AP101" s="23" t="s">
        <v>330</v>
      </c>
      <c r="AQ101" s="331">
        <f>AR101/AO101</f>
        <v>2500</v>
      </c>
      <c r="AR101" s="331">
        <v>25000</v>
      </c>
      <c r="AS101" s="288">
        <f t="shared" ref="AS101:AS126" si="5">AR101+AN101+AJ101+AF101+AB101+X101+T101+P101+L101+H101</f>
        <v>123000</v>
      </c>
      <c r="AT101" s="288">
        <f>AVERAGE(AQ101,AM101,AI101,AE101,AA101,W101,S101,O101,K101,G101)</f>
        <v>548</v>
      </c>
      <c r="AU101" s="288">
        <f t="shared" ref="AU101:AU126" si="6">MIN(G101,K101,O101,S101,W101,AA101,AE101,AI101,AM101,AQ101)</f>
        <v>60</v>
      </c>
    </row>
    <row r="102" spans="2:47" thickBot="1" x14ac:dyDescent="0.4">
      <c r="B102" s="19"/>
      <c r="C102" s="523" t="s">
        <v>382</v>
      </c>
      <c r="D102" s="524"/>
      <c r="E102" s="23">
        <v>55</v>
      </c>
      <c r="F102" s="23" t="s">
        <v>351</v>
      </c>
      <c r="G102" s="330">
        <f>H102/E102</f>
        <v>15000</v>
      </c>
      <c r="H102" s="331">
        <v>825000</v>
      </c>
      <c r="I102" s="44">
        <v>25</v>
      </c>
      <c r="J102" s="23" t="s">
        <v>351</v>
      </c>
      <c r="K102" s="331">
        <f>L102/I102</f>
        <v>15000</v>
      </c>
      <c r="L102" s="331">
        <v>375000</v>
      </c>
      <c r="M102" s="44">
        <v>4</v>
      </c>
      <c r="N102" s="23" t="s">
        <v>351</v>
      </c>
      <c r="O102" s="331">
        <f>P102/M102</f>
        <v>15000</v>
      </c>
      <c r="P102" s="331">
        <v>60000</v>
      </c>
      <c r="Q102" s="44">
        <v>70</v>
      </c>
      <c r="R102" s="23" t="s">
        <v>351</v>
      </c>
      <c r="S102" s="331">
        <f>T102/Q102</f>
        <v>15000</v>
      </c>
      <c r="T102" s="331">
        <v>1050000</v>
      </c>
      <c r="U102" s="44">
        <v>25</v>
      </c>
      <c r="V102" s="23" t="s">
        <v>351</v>
      </c>
      <c r="W102" s="331">
        <f>X102/U102</f>
        <v>15000</v>
      </c>
      <c r="X102" s="331">
        <v>375000</v>
      </c>
      <c r="Y102" s="44">
        <v>15</v>
      </c>
      <c r="Z102" s="23" t="s">
        <v>351</v>
      </c>
      <c r="AA102" s="331">
        <f>AB102/Y102</f>
        <v>15000</v>
      </c>
      <c r="AB102" s="331">
        <v>225000</v>
      </c>
      <c r="AC102" s="44">
        <v>65</v>
      </c>
      <c r="AD102" s="23" t="s">
        <v>351</v>
      </c>
      <c r="AE102" s="331">
        <f>AF102/AC102</f>
        <v>15000</v>
      </c>
      <c r="AF102" s="331">
        <v>975000</v>
      </c>
      <c r="AG102" s="44">
        <v>70</v>
      </c>
      <c r="AH102" s="23" t="s">
        <v>351</v>
      </c>
      <c r="AI102" s="331">
        <f>AJ102/AG102</f>
        <v>15000</v>
      </c>
      <c r="AJ102" s="331">
        <v>1050000</v>
      </c>
      <c r="AK102" s="44">
        <v>12</v>
      </c>
      <c r="AL102" s="23" t="s">
        <v>351</v>
      </c>
      <c r="AM102" s="331">
        <f>AN102/AK102</f>
        <v>15000</v>
      </c>
      <c r="AN102" s="331">
        <v>180000</v>
      </c>
      <c r="AO102" s="44">
        <v>5</v>
      </c>
      <c r="AP102" s="23" t="s">
        <v>351</v>
      </c>
      <c r="AQ102" s="331">
        <f>AR102/AO102</f>
        <v>10000</v>
      </c>
      <c r="AR102" s="331">
        <v>50000</v>
      </c>
      <c r="AS102" s="288">
        <f t="shared" si="5"/>
        <v>5165000</v>
      </c>
      <c r="AT102" s="288">
        <f>AVERAGE(AQ102,AM102,AI102,AE102,AA102,W102,S102,O102,K102,G102)</f>
        <v>14500</v>
      </c>
      <c r="AU102" s="288">
        <f t="shared" si="6"/>
        <v>10000</v>
      </c>
    </row>
    <row r="103" spans="2:47" thickBot="1" x14ac:dyDescent="0.4">
      <c r="B103" s="19"/>
      <c r="C103" s="523" t="s">
        <v>480</v>
      </c>
      <c r="D103" s="524"/>
      <c r="E103" s="23">
        <v>210</v>
      </c>
      <c r="F103" s="23" t="s">
        <v>210</v>
      </c>
      <c r="G103" s="330">
        <f>H103/E103</f>
        <v>18000</v>
      </c>
      <c r="H103" s="331">
        <v>3780000</v>
      </c>
      <c r="I103" s="44">
        <v>105</v>
      </c>
      <c r="J103" s="23" t="s">
        <v>210</v>
      </c>
      <c r="K103" s="331">
        <f>L103/I103</f>
        <v>18000</v>
      </c>
      <c r="L103" s="331">
        <v>1890000</v>
      </c>
      <c r="M103" s="44">
        <v>10</v>
      </c>
      <c r="N103" s="23" t="s">
        <v>210</v>
      </c>
      <c r="O103" s="331">
        <f>P103/M103</f>
        <v>18000</v>
      </c>
      <c r="P103" s="331">
        <v>180000</v>
      </c>
      <c r="Q103" s="44">
        <v>275</v>
      </c>
      <c r="R103" s="23" t="s">
        <v>210</v>
      </c>
      <c r="S103" s="331">
        <f>T103/Q103</f>
        <v>18000</v>
      </c>
      <c r="T103" s="331">
        <v>4950000</v>
      </c>
      <c r="U103" s="44">
        <v>90</v>
      </c>
      <c r="V103" s="23" t="s">
        <v>210</v>
      </c>
      <c r="W103" s="331">
        <f>X103/U103</f>
        <v>18000</v>
      </c>
      <c r="X103" s="331">
        <v>1620000</v>
      </c>
      <c r="Y103" s="44">
        <v>55</v>
      </c>
      <c r="Z103" s="23" t="s">
        <v>210</v>
      </c>
      <c r="AA103" s="331">
        <f>AB103/Y103</f>
        <v>18000</v>
      </c>
      <c r="AB103" s="331">
        <v>990000</v>
      </c>
      <c r="AC103" s="44">
        <v>280</v>
      </c>
      <c r="AD103" s="23" t="s">
        <v>210</v>
      </c>
      <c r="AE103" s="331">
        <f>AF103/AC103</f>
        <v>18000</v>
      </c>
      <c r="AF103" s="331">
        <v>5040000</v>
      </c>
      <c r="AG103" s="44">
        <v>290</v>
      </c>
      <c r="AH103" s="23" t="s">
        <v>210</v>
      </c>
      <c r="AI103" s="331">
        <f>AJ103/AG103</f>
        <v>18000</v>
      </c>
      <c r="AJ103" s="331">
        <v>5220000</v>
      </c>
      <c r="AK103" s="44">
        <v>20</v>
      </c>
      <c r="AL103" s="23" t="s">
        <v>210</v>
      </c>
      <c r="AM103" s="331">
        <f>AN103/AK103</f>
        <v>20000</v>
      </c>
      <c r="AN103" s="331">
        <v>400000</v>
      </c>
      <c r="AO103" s="44">
        <v>13</v>
      </c>
      <c r="AP103" s="23" t="s">
        <v>210</v>
      </c>
      <c r="AQ103" s="331">
        <f>AR103/AO103</f>
        <v>18000</v>
      </c>
      <c r="AR103" s="331">
        <v>234000</v>
      </c>
      <c r="AS103" s="288">
        <f t="shared" si="5"/>
        <v>24304000</v>
      </c>
      <c r="AT103" s="288">
        <f>AVERAGE(AQ103,AM103,AI103,AE103,AA103,W103,S103,O103,K103,G103)</f>
        <v>18200</v>
      </c>
      <c r="AU103" s="288">
        <f t="shared" si="6"/>
        <v>18000</v>
      </c>
    </row>
    <row r="104" spans="2:47" thickBot="1" x14ac:dyDescent="0.4">
      <c r="B104" s="19"/>
      <c r="C104" s="523" t="s">
        <v>481</v>
      </c>
      <c r="D104" s="524"/>
      <c r="E104" s="23"/>
      <c r="F104" s="23"/>
      <c r="G104" s="330"/>
      <c r="H104" s="331"/>
      <c r="I104" s="44"/>
      <c r="J104" s="23"/>
      <c r="K104" s="331"/>
      <c r="L104" s="331"/>
      <c r="M104" s="44"/>
      <c r="N104" s="23"/>
      <c r="O104" s="331"/>
      <c r="P104" s="331"/>
      <c r="Q104" s="44"/>
      <c r="R104" s="23"/>
      <c r="S104" s="331"/>
      <c r="T104" s="331"/>
      <c r="U104" s="44"/>
      <c r="V104" s="23"/>
      <c r="W104" s="331"/>
      <c r="X104" s="331"/>
      <c r="Y104" s="44"/>
      <c r="Z104" s="23"/>
      <c r="AA104" s="331"/>
      <c r="AB104" s="331"/>
      <c r="AC104" s="44"/>
      <c r="AD104" s="23"/>
      <c r="AE104" s="331"/>
      <c r="AF104" s="331"/>
      <c r="AG104" s="44"/>
      <c r="AH104" s="23"/>
      <c r="AI104" s="331"/>
      <c r="AJ104" s="331"/>
      <c r="AK104" s="44">
        <v>10</v>
      </c>
      <c r="AL104" s="23" t="s">
        <v>210</v>
      </c>
      <c r="AM104" s="331">
        <f>AN104/AK104</f>
        <v>22000</v>
      </c>
      <c r="AN104" s="331">
        <v>220000</v>
      </c>
      <c r="AO104" s="44">
        <v>3</v>
      </c>
      <c r="AP104" s="23" t="s">
        <v>210</v>
      </c>
      <c r="AQ104" s="331">
        <f>AR104/AO104</f>
        <v>20000</v>
      </c>
      <c r="AR104" s="331">
        <v>60000</v>
      </c>
      <c r="AS104" s="288">
        <f t="shared" si="5"/>
        <v>280000</v>
      </c>
      <c r="AT104" s="288">
        <f>AVERAGE(AQ104,AM104,AI104,AE104,AA104,W104,S104,O104,K104,G104)</f>
        <v>21000</v>
      </c>
      <c r="AU104" s="288">
        <f t="shared" si="6"/>
        <v>20000</v>
      </c>
    </row>
    <row r="105" spans="2:47" thickBot="1" x14ac:dyDescent="0.4">
      <c r="B105" s="19"/>
      <c r="C105" s="523" t="s">
        <v>482</v>
      </c>
      <c r="D105" s="524"/>
      <c r="E105" s="23"/>
      <c r="F105" s="23"/>
      <c r="G105" s="330"/>
      <c r="H105" s="331"/>
      <c r="I105" s="44"/>
      <c r="J105" s="23"/>
      <c r="K105" s="331"/>
      <c r="L105" s="331"/>
      <c r="M105" s="44"/>
      <c r="N105" s="23"/>
      <c r="O105" s="331"/>
      <c r="P105" s="331"/>
      <c r="Q105" s="44"/>
      <c r="R105" s="23"/>
      <c r="S105" s="331"/>
      <c r="T105" s="331"/>
      <c r="U105" s="44"/>
      <c r="V105" s="23"/>
      <c r="W105" s="331"/>
      <c r="X105" s="331"/>
      <c r="Y105" s="44"/>
      <c r="Z105" s="23"/>
      <c r="AA105" s="331"/>
      <c r="AB105" s="331"/>
      <c r="AC105" s="44"/>
      <c r="AD105" s="23"/>
      <c r="AE105" s="331"/>
      <c r="AF105" s="331"/>
      <c r="AG105" s="44"/>
      <c r="AH105" s="23"/>
      <c r="AI105" s="331"/>
      <c r="AJ105" s="331"/>
      <c r="AK105" s="44"/>
      <c r="AL105" s="23"/>
      <c r="AM105" s="331"/>
      <c r="AN105" s="331"/>
      <c r="AO105" s="44"/>
      <c r="AP105" s="23"/>
      <c r="AQ105" s="331"/>
      <c r="AR105" s="331"/>
      <c r="AS105" s="288">
        <f t="shared" si="5"/>
        <v>0</v>
      </c>
      <c r="AT105" s="288">
        <v>23368</v>
      </c>
      <c r="AU105" s="288">
        <f t="shared" si="6"/>
        <v>0</v>
      </c>
    </row>
    <row r="106" spans="2:47" thickBot="1" x14ac:dyDescent="0.4">
      <c r="B106" s="19"/>
      <c r="C106" s="523" t="s">
        <v>483</v>
      </c>
      <c r="D106" s="524"/>
      <c r="E106" s="23">
        <v>18</v>
      </c>
      <c r="F106" s="23" t="s">
        <v>336</v>
      </c>
      <c r="G106" s="330">
        <f>H106/E106</f>
        <v>60000</v>
      </c>
      <c r="H106" s="331">
        <v>1080000</v>
      </c>
      <c r="I106" s="44">
        <v>10</v>
      </c>
      <c r="J106" s="23" t="s">
        <v>336</v>
      </c>
      <c r="K106" s="331">
        <f>L106/I106</f>
        <v>60000</v>
      </c>
      <c r="L106" s="331">
        <v>600000</v>
      </c>
      <c r="M106" s="44">
        <v>1</v>
      </c>
      <c r="N106" s="23" t="s">
        <v>336</v>
      </c>
      <c r="O106" s="331">
        <f>P106/M106</f>
        <v>60000</v>
      </c>
      <c r="P106" s="331">
        <v>60000</v>
      </c>
      <c r="Q106" s="44">
        <v>40</v>
      </c>
      <c r="R106" s="23" t="s">
        <v>336</v>
      </c>
      <c r="S106" s="331">
        <f>T106/Q106</f>
        <v>160000</v>
      </c>
      <c r="T106" s="331">
        <v>6400000</v>
      </c>
      <c r="U106" s="44">
        <v>12.5</v>
      </c>
      <c r="V106" s="23" t="s">
        <v>336</v>
      </c>
      <c r="W106" s="331">
        <f>X106/U106</f>
        <v>60000</v>
      </c>
      <c r="X106" s="331">
        <v>750000</v>
      </c>
      <c r="Y106" s="44">
        <v>6</v>
      </c>
      <c r="Z106" s="23" t="s">
        <v>336</v>
      </c>
      <c r="AA106" s="331">
        <f>AB106/Y106</f>
        <v>60000</v>
      </c>
      <c r="AB106" s="331">
        <v>360000</v>
      </c>
      <c r="AC106" s="44">
        <v>32</v>
      </c>
      <c r="AD106" s="23" t="s">
        <v>336</v>
      </c>
      <c r="AE106" s="331">
        <f>AF106/AC106</f>
        <v>60000</v>
      </c>
      <c r="AF106" s="331">
        <v>1920000</v>
      </c>
      <c r="AG106" s="44">
        <v>16</v>
      </c>
      <c r="AH106" s="23" t="s">
        <v>336</v>
      </c>
      <c r="AI106" s="331">
        <f>AJ106/AG106</f>
        <v>60000</v>
      </c>
      <c r="AJ106" s="331">
        <v>960000</v>
      </c>
      <c r="AK106" s="44">
        <v>1.5</v>
      </c>
      <c r="AL106" s="23" t="s">
        <v>336</v>
      </c>
      <c r="AM106" s="331">
        <f>AN106/AK106</f>
        <v>54000</v>
      </c>
      <c r="AN106" s="331">
        <v>81000</v>
      </c>
      <c r="AO106" s="44">
        <v>0</v>
      </c>
      <c r="AP106" s="23" t="s">
        <v>336</v>
      </c>
      <c r="AQ106" s="331"/>
      <c r="AR106" s="331"/>
      <c r="AS106" s="288">
        <f t="shared" si="5"/>
        <v>12211000</v>
      </c>
      <c r="AT106" s="288">
        <f>AVERAGE(AQ106,AM106,AI106,AE106,AA106,W106,S106,O106,K106,G106)</f>
        <v>70444.444444444438</v>
      </c>
      <c r="AU106" s="288">
        <f t="shared" si="6"/>
        <v>54000</v>
      </c>
    </row>
    <row r="107" spans="2:47" thickBot="1" x14ac:dyDescent="0.4">
      <c r="B107" s="19"/>
      <c r="C107" s="523" t="s">
        <v>484</v>
      </c>
      <c r="D107" s="524"/>
      <c r="E107" s="23"/>
      <c r="F107" s="23"/>
      <c r="G107" s="330"/>
      <c r="H107" s="331"/>
      <c r="I107" s="44"/>
      <c r="J107" s="23"/>
      <c r="K107" s="331"/>
      <c r="L107" s="331"/>
      <c r="M107" s="44"/>
      <c r="N107" s="23"/>
      <c r="O107" s="331"/>
      <c r="P107" s="331"/>
      <c r="Q107" s="44"/>
      <c r="R107" s="23"/>
      <c r="S107" s="331"/>
      <c r="T107" s="331"/>
      <c r="U107" s="44"/>
      <c r="V107" s="23"/>
      <c r="W107" s="331"/>
      <c r="X107" s="331"/>
      <c r="Y107" s="44"/>
      <c r="Z107" s="23"/>
      <c r="AA107" s="331"/>
      <c r="AB107" s="331"/>
      <c r="AC107" s="44"/>
      <c r="AD107" s="23"/>
      <c r="AE107" s="331"/>
      <c r="AF107" s="331"/>
      <c r="AG107" s="44">
        <v>20</v>
      </c>
      <c r="AH107" s="23" t="s">
        <v>336</v>
      </c>
      <c r="AI107" s="331">
        <f>AJ107/AG107</f>
        <v>160000</v>
      </c>
      <c r="AJ107" s="331">
        <v>3200000</v>
      </c>
      <c r="AK107" s="44"/>
      <c r="AL107" s="23"/>
      <c r="AM107" s="331"/>
      <c r="AN107" s="331"/>
      <c r="AO107" s="44"/>
      <c r="AP107" s="23"/>
      <c r="AQ107" s="331"/>
      <c r="AR107" s="331"/>
      <c r="AS107" s="288">
        <f t="shared" si="5"/>
        <v>3200000</v>
      </c>
      <c r="AT107" s="288">
        <f>AVERAGE(AQ107,AM107,AI107,AE107,AA107,W107,S107,O107,K107,G107)</f>
        <v>160000</v>
      </c>
      <c r="AU107" s="288">
        <f t="shared" si="6"/>
        <v>160000</v>
      </c>
    </row>
    <row r="108" spans="2:47" thickBot="1" x14ac:dyDescent="0.4">
      <c r="B108" s="19"/>
      <c r="C108" s="523" t="s">
        <v>485</v>
      </c>
      <c r="D108" s="524"/>
      <c r="E108" s="23"/>
      <c r="F108" s="23"/>
      <c r="G108" s="330"/>
      <c r="H108" s="331"/>
      <c r="I108" s="44"/>
      <c r="J108" s="23"/>
      <c r="K108" s="331"/>
      <c r="L108" s="331"/>
      <c r="M108" s="44"/>
      <c r="N108" s="23"/>
      <c r="O108" s="331"/>
      <c r="P108" s="331"/>
      <c r="Q108" s="44"/>
      <c r="R108" s="23"/>
      <c r="S108" s="331"/>
      <c r="T108" s="331"/>
      <c r="U108" s="44"/>
      <c r="V108" s="23"/>
      <c r="W108" s="331"/>
      <c r="X108" s="331"/>
      <c r="Y108" s="44"/>
      <c r="Z108" s="23"/>
      <c r="AA108" s="331"/>
      <c r="AB108" s="331"/>
      <c r="AC108" s="44"/>
      <c r="AD108" s="23"/>
      <c r="AE108" s="331"/>
      <c r="AF108" s="331"/>
      <c r="AG108" s="44"/>
      <c r="AH108" s="23"/>
      <c r="AI108" s="331"/>
      <c r="AJ108" s="331"/>
      <c r="AK108" s="44"/>
      <c r="AL108" s="23"/>
      <c r="AM108" s="331"/>
      <c r="AN108" s="331"/>
      <c r="AO108" s="44"/>
      <c r="AP108" s="23"/>
      <c r="AQ108" s="331"/>
      <c r="AR108" s="331"/>
      <c r="AS108" s="288">
        <f t="shared" si="5"/>
        <v>0</v>
      </c>
      <c r="AT108" s="288"/>
      <c r="AU108" s="288">
        <f t="shared" si="6"/>
        <v>0</v>
      </c>
    </row>
    <row r="109" spans="2:47" thickBot="1" x14ac:dyDescent="0.4">
      <c r="B109" s="19"/>
      <c r="C109" s="523" t="s">
        <v>486</v>
      </c>
      <c r="D109" s="524"/>
      <c r="E109" s="23"/>
      <c r="F109" s="23"/>
      <c r="G109" s="330"/>
      <c r="H109" s="331"/>
      <c r="I109" s="44"/>
      <c r="J109" s="23"/>
      <c r="K109" s="331"/>
      <c r="L109" s="331"/>
      <c r="M109" s="44"/>
      <c r="N109" s="23"/>
      <c r="O109" s="331"/>
      <c r="P109" s="331"/>
      <c r="Q109" s="44"/>
      <c r="R109" s="23"/>
      <c r="S109" s="331"/>
      <c r="T109" s="331"/>
      <c r="U109" s="44"/>
      <c r="V109" s="23"/>
      <c r="W109" s="331"/>
      <c r="X109" s="331"/>
      <c r="Y109" s="44"/>
      <c r="Z109" s="23"/>
      <c r="AA109" s="331"/>
      <c r="AB109" s="331"/>
      <c r="AC109" s="44"/>
      <c r="AD109" s="23"/>
      <c r="AE109" s="331"/>
      <c r="AF109" s="331"/>
      <c r="AG109" s="44"/>
      <c r="AH109" s="23"/>
      <c r="AI109" s="331"/>
      <c r="AJ109" s="331"/>
      <c r="AK109" s="44">
        <v>1.7</v>
      </c>
      <c r="AL109" s="23" t="s">
        <v>336</v>
      </c>
      <c r="AM109" s="331">
        <f t="shared" ref="AM109:AM122" si="7">AN109/AK109</f>
        <v>42000</v>
      </c>
      <c r="AN109" s="331">
        <v>71400</v>
      </c>
      <c r="AO109" s="44">
        <v>1.5</v>
      </c>
      <c r="AP109" s="23" t="s">
        <v>336</v>
      </c>
      <c r="AQ109" s="331">
        <f t="shared" ref="AQ109:AQ115" si="8">AR109/AO109</f>
        <v>38400</v>
      </c>
      <c r="AR109" s="331">
        <v>57600</v>
      </c>
      <c r="AS109" s="288">
        <f t="shared" si="5"/>
        <v>129000</v>
      </c>
      <c r="AT109" s="288">
        <f t="shared" ref="AT109:AT122" si="9">AVERAGE(AQ109,AM109,AI109,AE109,AA109,W109,S109,O109,K109,G109)</f>
        <v>40200</v>
      </c>
      <c r="AU109" s="288">
        <f t="shared" si="6"/>
        <v>38400</v>
      </c>
    </row>
    <row r="110" spans="2:47" thickBot="1" x14ac:dyDescent="0.4">
      <c r="B110" s="19"/>
      <c r="C110" s="523" t="s">
        <v>487</v>
      </c>
      <c r="D110" s="524"/>
      <c r="E110" s="23">
        <v>440</v>
      </c>
      <c r="F110" s="23" t="s">
        <v>351</v>
      </c>
      <c r="G110" s="330">
        <f t="shared" ref="G110:G123" si="10">H110/E110</f>
        <v>300</v>
      </c>
      <c r="H110" s="331">
        <v>132000</v>
      </c>
      <c r="I110" s="44">
        <v>225</v>
      </c>
      <c r="J110" s="23" t="s">
        <v>351</v>
      </c>
      <c r="K110" s="331">
        <f t="shared" ref="K110:K123" si="11">L110/I110</f>
        <v>300</v>
      </c>
      <c r="L110" s="331">
        <v>67500</v>
      </c>
      <c r="M110" s="44">
        <v>20</v>
      </c>
      <c r="N110" s="23" t="s">
        <v>351</v>
      </c>
      <c r="O110" s="331">
        <f t="shared" ref="O110:O115" si="12">P110/M110</f>
        <v>300</v>
      </c>
      <c r="P110" s="331">
        <v>6000</v>
      </c>
      <c r="Q110" s="44">
        <v>900</v>
      </c>
      <c r="R110" s="23" t="s">
        <v>351</v>
      </c>
      <c r="S110" s="331">
        <f t="shared" ref="S110:S123" si="13">T110/Q110</f>
        <v>300</v>
      </c>
      <c r="T110" s="331">
        <v>270000</v>
      </c>
      <c r="U110" s="44">
        <v>260</v>
      </c>
      <c r="V110" s="23" t="s">
        <v>351</v>
      </c>
      <c r="W110" s="331">
        <f t="shared" ref="W110:W122" si="14">X110/U110</f>
        <v>300</v>
      </c>
      <c r="X110" s="331">
        <v>78000</v>
      </c>
      <c r="Y110" s="44">
        <v>130</v>
      </c>
      <c r="Z110" s="23" t="s">
        <v>351</v>
      </c>
      <c r="AA110" s="331">
        <f t="shared" ref="AA110:AA122" si="15">AB110/Y110</f>
        <v>300</v>
      </c>
      <c r="AB110" s="331">
        <v>39000</v>
      </c>
      <c r="AC110" s="44">
        <v>700</v>
      </c>
      <c r="AD110" s="23" t="s">
        <v>351</v>
      </c>
      <c r="AE110" s="331">
        <f t="shared" ref="AE110:AE122" si="16">AF110/AC110</f>
        <v>300</v>
      </c>
      <c r="AF110" s="331">
        <v>210000</v>
      </c>
      <c r="AG110" s="44">
        <v>850</v>
      </c>
      <c r="AH110" s="23" t="s">
        <v>351</v>
      </c>
      <c r="AI110" s="331">
        <f t="shared" ref="AI110:AI122" si="17">AJ110/AG110</f>
        <v>300</v>
      </c>
      <c r="AJ110" s="331">
        <v>255000</v>
      </c>
      <c r="AK110" s="44">
        <v>75</v>
      </c>
      <c r="AL110" s="23" t="s">
        <v>351</v>
      </c>
      <c r="AM110" s="331">
        <f t="shared" si="7"/>
        <v>300</v>
      </c>
      <c r="AN110" s="331">
        <v>22500</v>
      </c>
      <c r="AO110" s="44">
        <v>45</v>
      </c>
      <c r="AP110" s="23" t="s">
        <v>351</v>
      </c>
      <c r="AQ110" s="331">
        <f t="shared" si="8"/>
        <v>300</v>
      </c>
      <c r="AR110" s="331">
        <v>13500</v>
      </c>
      <c r="AS110" s="288">
        <f t="shared" si="5"/>
        <v>1093500</v>
      </c>
      <c r="AT110" s="288">
        <f t="shared" si="9"/>
        <v>300</v>
      </c>
      <c r="AU110" s="288">
        <f t="shared" si="6"/>
        <v>300</v>
      </c>
    </row>
    <row r="111" spans="2:47" thickBot="1" x14ac:dyDescent="0.4">
      <c r="B111" s="19"/>
      <c r="C111" s="523" t="s">
        <v>222</v>
      </c>
      <c r="D111" s="524"/>
      <c r="E111" s="23">
        <v>75</v>
      </c>
      <c r="F111" s="23" t="s">
        <v>351</v>
      </c>
      <c r="G111" s="330">
        <f t="shared" si="10"/>
        <v>2000</v>
      </c>
      <c r="H111" s="331">
        <v>150000</v>
      </c>
      <c r="I111" s="44">
        <v>40</v>
      </c>
      <c r="J111" s="23" t="s">
        <v>351</v>
      </c>
      <c r="K111" s="331">
        <f t="shared" si="11"/>
        <v>2000</v>
      </c>
      <c r="L111" s="331">
        <v>80000</v>
      </c>
      <c r="M111" s="44">
        <v>5</v>
      </c>
      <c r="N111" s="23" t="s">
        <v>351</v>
      </c>
      <c r="O111" s="331">
        <f t="shared" si="12"/>
        <v>2000</v>
      </c>
      <c r="P111" s="331">
        <v>10000</v>
      </c>
      <c r="Q111" s="44">
        <v>75</v>
      </c>
      <c r="R111" s="23" t="s">
        <v>351</v>
      </c>
      <c r="S111" s="331">
        <f t="shared" si="13"/>
        <v>2000</v>
      </c>
      <c r="T111" s="331">
        <v>150000</v>
      </c>
      <c r="U111" s="44">
        <v>40</v>
      </c>
      <c r="V111" s="23" t="s">
        <v>351</v>
      </c>
      <c r="W111" s="331">
        <f t="shared" si="14"/>
        <v>2000</v>
      </c>
      <c r="X111" s="331">
        <v>80000</v>
      </c>
      <c r="Y111" s="44">
        <v>25</v>
      </c>
      <c r="Z111" s="23" t="s">
        <v>351</v>
      </c>
      <c r="AA111" s="331">
        <f t="shared" si="15"/>
        <v>2000</v>
      </c>
      <c r="AB111" s="331">
        <v>50000</v>
      </c>
      <c r="AC111" s="44">
        <v>100</v>
      </c>
      <c r="AD111" s="23" t="s">
        <v>351</v>
      </c>
      <c r="AE111" s="331">
        <f t="shared" si="16"/>
        <v>2000</v>
      </c>
      <c r="AF111" s="331">
        <v>200000</v>
      </c>
      <c r="AG111" s="44">
        <v>100</v>
      </c>
      <c r="AH111" s="23" t="s">
        <v>351</v>
      </c>
      <c r="AI111" s="331">
        <f t="shared" si="17"/>
        <v>2000</v>
      </c>
      <c r="AJ111" s="331">
        <v>200000</v>
      </c>
      <c r="AK111" s="44">
        <v>10</v>
      </c>
      <c r="AL111" s="23" t="s">
        <v>351</v>
      </c>
      <c r="AM111" s="331">
        <f t="shared" si="7"/>
        <v>2500</v>
      </c>
      <c r="AN111" s="331">
        <v>25000</v>
      </c>
      <c r="AO111" s="44">
        <v>5</v>
      </c>
      <c r="AP111" s="23" t="s">
        <v>351</v>
      </c>
      <c r="AQ111" s="331">
        <f t="shared" si="8"/>
        <v>2000</v>
      </c>
      <c r="AR111" s="331">
        <v>10000</v>
      </c>
      <c r="AS111" s="288">
        <f t="shared" si="5"/>
        <v>955000</v>
      </c>
      <c r="AT111" s="288">
        <f t="shared" si="9"/>
        <v>2050</v>
      </c>
      <c r="AU111" s="288">
        <f t="shared" si="6"/>
        <v>2000</v>
      </c>
    </row>
    <row r="112" spans="2:47" thickBot="1" x14ac:dyDescent="0.4">
      <c r="B112" s="19"/>
      <c r="C112" s="523" t="s">
        <v>350</v>
      </c>
      <c r="D112" s="524"/>
      <c r="E112" s="23">
        <v>4</v>
      </c>
      <c r="F112" s="23" t="s">
        <v>336</v>
      </c>
      <c r="G112" s="330">
        <f t="shared" si="10"/>
        <v>30000</v>
      </c>
      <c r="H112" s="331">
        <v>120000</v>
      </c>
      <c r="I112" s="44">
        <v>2</v>
      </c>
      <c r="J112" s="23" t="s">
        <v>336</v>
      </c>
      <c r="K112" s="331">
        <f t="shared" si="11"/>
        <v>30000</v>
      </c>
      <c r="L112" s="331">
        <v>60000</v>
      </c>
      <c r="M112" s="44">
        <v>0.5</v>
      </c>
      <c r="N112" s="23" t="s">
        <v>336</v>
      </c>
      <c r="O112" s="331">
        <f t="shared" si="12"/>
        <v>30000</v>
      </c>
      <c r="P112" s="331">
        <v>15000</v>
      </c>
      <c r="Q112" s="44">
        <v>18</v>
      </c>
      <c r="R112" s="23" t="s">
        <v>336</v>
      </c>
      <c r="S112" s="331">
        <f t="shared" si="13"/>
        <v>30000</v>
      </c>
      <c r="T112" s="331">
        <v>540000</v>
      </c>
      <c r="U112" s="44">
        <v>2</v>
      </c>
      <c r="V112" s="23" t="s">
        <v>336</v>
      </c>
      <c r="W112" s="331">
        <f t="shared" si="14"/>
        <v>30000</v>
      </c>
      <c r="X112" s="331">
        <v>60000</v>
      </c>
      <c r="Y112" s="44">
        <v>1.5</v>
      </c>
      <c r="Z112" s="23" t="s">
        <v>336</v>
      </c>
      <c r="AA112" s="331">
        <f t="shared" si="15"/>
        <v>30000</v>
      </c>
      <c r="AB112" s="331">
        <v>45000</v>
      </c>
      <c r="AC112" s="44">
        <v>5</v>
      </c>
      <c r="AD112" s="23" t="s">
        <v>336</v>
      </c>
      <c r="AE112" s="331">
        <f t="shared" si="16"/>
        <v>30000</v>
      </c>
      <c r="AF112" s="331">
        <v>150000</v>
      </c>
      <c r="AG112" s="44">
        <v>8</v>
      </c>
      <c r="AH112" s="23" t="s">
        <v>336</v>
      </c>
      <c r="AI112" s="331">
        <f t="shared" si="17"/>
        <v>18750</v>
      </c>
      <c r="AJ112" s="331">
        <v>150000</v>
      </c>
      <c r="AK112" s="44">
        <v>2</v>
      </c>
      <c r="AL112" s="23" t="s">
        <v>336</v>
      </c>
      <c r="AM112" s="331">
        <f t="shared" si="7"/>
        <v>35000</v>
      </c>
      <c r="AN112" s="331">
        <v>70000</v>
      </c>
      <c r="AO112" s="44">
        <v>0.4</v>
      </c>
      <c r="AP112" s="23" t="s">
        <v>336</v>
      </c>
      <c r="AQ112" s="331">
        <f t="shared" si="8"/>
        <v>33000</v>
      </c>
      <c r="AR112" s="331">
        <v>13200</v>
      </c>
      <c r="AS112" s="288">
        <f t="shared" si="5"/>
        <v>1223200</v>
      </c>
      <c r="AT112" s="288">
        <f t="shared" si="9"/>
        <v>29675</v>
      </c>
      <c r="AU112" s="288">
        <f t="shared" si="6"/>
        <v>18750</v>
      </c>
    </row>
    <row r="113" spans="2:47" thickBot="1" x14ac:dyDescent="0.4">
      <c r="B113" s="19"/>
      <c r="C113" s="523" t="s">
        <v>224</v>
      </c>
      <c r="D113" s="524"/>
      <c r="E113" s="23">
        <v>140</v>
      </c>
      <c r="F113" s="23" t="s">
        <v>488</v>
      </c>
      <c r="G113" s="330">
        <f t="shared" si="10"/>
        <v>700</v>
      </c>
      <c r="H113" s="331">
        <v>98000</v>
      </c>
      <c r="I113" s="44">
        <v>60</v>
      </c>
      <c r="J113" s="23" t="s">
        <v>488</v>
      </c>
      <c r="K113" s="331">
        <f t="shared" si="11"/>
        <v>700</v>
      </c>
      <c r="L113" s="331">
        <v>42000</v>
      </c>
      <c r="M113" s="44">
        <v>8</v>
      </c>
      <c r="N113" s="23" t="s">
        <v>488</v>
      </c>
      <c r="O113" s="331">
        <f t="shared" si="12"/>
        <v>700</v>
      </c>
      <c r="P113" s="331">
        <v>5600</v>
      </c>
      <c r="Q113" s="44">
        <v>250</v>
      </c>
      <c r="R113" s="23" t="s">
        <v>488</v>
      </c>
      <c r="S113" s="331">
        <f t="shared" si="13"/>
        <v>700</v>
      </c>
      <c r="T113" s="331">
        <v>175000</v>
      </c>
      <c r="U113" s="44">
        <v>65</v>
      </c>
      <c r="V113" s="23" t="s">
        <v>488</v>
      </c>
      <c r="W113" s="331">
        <f t="shared" si="14"/>
        <v>700</v>
      </c>
      <c r="X113" s="331">
        <v>45500</v>
      </c>
      <c r="Y113" s="44">
        <v>40</v>
      </c>
      <c r="Z113" s="23" t="s">
        <v>488</v>
      </c>
      <c r="AA113" s="331">
        <f t="shared" si="15"/>
        <v>700</v>
      </c>
      <c r="AB113" s="331">
        <v>28000</v>
      </c>
      <c r="AC113" s="44">
        <v>180</v>
      </c>
      <c r="AD113" s="23" t="s">
        <v>488</v>
      </c>
      <c r="AE113" s="331">
        <f t="shared" si="16"/>
        <v>700</v>
      </c>
      <c r="AF113" s="331">
        <v>126000</v>
      </c>
      <c r="AG113" s="44">
        <v>250</v>
      </c>
      <c r="AH113" s="23" t="s">
        <v>488</v>
      </c>
      <c r="AI113" s="331">
        <f t="shared" si="17"/>
        <v>700</v>
      </c>
      <c r="AJ113" s="331">
        <v>175000</v>
      </c>
      <c r="AK113" s="44">
        <v>12</v>
      </c>
      <c r="AL113" s="23" t="s">
        <v>488</v>
      </c>
      <c r="AM113" s="331">
        <f t="shared" si="7"/>
        <v>2000</v>
      </c>
      <c r="AN113" s="331">
        <v>24000</v>
      </c>
      <c r="AO113" s="44">
        <v>5</v>
      </c>
      <c r="AP113" s="23" t="s">
        <v>488</v>
      </c>
      <c r="AQ113" s="331">
        <f t="shared" si="8"/>
        <v>1500</v>
      </c>
      <c r="AR113" s="331">
        <v>7500</v>
      </c>
      <c r="AS113" s="288">
        <f t="shared" si="5"/>
        <v>726600</v>
      </c>
      <c r="AT113" s="288">
        <f t="shared" si="9"/>
        <v>910</v>
      </c>
      <c r="AU113" s="288">
        <f t="shared" si="6"/>
        <v>700</v>
      </c>
    </row>
    <row r="114" spans="2:47" thickBot="1" x14ac:dyDescent="0.4">
      <c r="B114" s="19"/>
      <c r="C114" s="523" t="s">
        <v>226</v>
      </c>
      <c r="D114" s="524"/>
      <c r="E114" s="23">
        <v>1</v>
      </c>
      <c r="F114" s="23" t="s">
        <v>488</v>
      </c>
      <c r="G114" s="330">
        <f t="shared" si="10"/>
        <v>20000</v>
      </c>
      <c r="H114" s="331">
        <v>20000</v>
      </c>
      <c r="I114" s="44">
        <v>1</v>
      </c>
      <c r="J114" s="23" t="s">
        <v>488</v>
      </c>
      <c r="K114" s="331">
        <f t="shared" si="11"/>
        <v>20000</v>
      </c>
      <c r="L114" s="331">
        <v>20000</v>
      </c>
      <c r="M114" s="44">
        <v>1</v>
      </c>
      <c r="N114" s="23" t="s">
        <v>488</v>
      </c>
      <c r="O114" s="331">
        <f t="shared" si="12"/>
        <v>20000</v>
      </c>
      <c r="P114" s="331">
        <v>20000</v>
      </c>
      <c r="Q114" s="44">
        <v>1</v>
      </c>
      <c r="R114" s="23" t="s">
        <v>488</v>
      </c>
      <c r="S114" s="331">
        <f t="shared" si="13"/>
        <v>20000</v>
      </c>
      <c r="T114" s="331">
        <v>20000</v>
      </c>
      <c r="U114" s="44">
        <v>1</v>
      </c>
      <c r="V114" s="23" t="s">
        <v>488</v>
      </c>
      <c r="W114" s="331">
        <f t="shared" si="14"/>
        <v>20000</v>
      </c>
      <c r="X114" s="331">
        <v>20000</v>
      </c>
      <c r="Y114" s="44">
        <v>1</v>
      </c>
      <c r="Z114" s="23" t="s">
        <v>488</v>
      </c>
      <c r="AA114" s="331">
        <f t="shared" si="15"/>
        <v>20000</v>
      </c>
      <c r="AB114" s="331">
        <v>20000</v>
      </c>
      <c r="AC114" s="44">
        <v>1</v>
      </c>
      <c r="AD114" s="23" t="s">
        <v>488</v>
      </c>
      <c r="AE114" s="331">
        <f t="shared" si="16"/>
        <v>20000</v>
      </c>
      <c r="AF114" s="331">
        <v>20000</v>
      </c>
      <c r="AG114" s="44">
        <v>1</v>
      </c>
      <c r="AH114" s="23" t="s">
        <v>488</v>
      </c>
      <c r="AI114" s="331">
        <f t="shared" si="17"/>
        <v>20000</v>
      </c>
      <c r="AJ114" s="331">
        <v>20000</v>
      </c>
      <c r="AK114" s="44">
        <v>1</v>
      </c>
      <c r="AL114" s="23" t="s">
        <v>488</v>
      </c>
      <c r="AM114" s="331">
        <f t="shared" si="7"/>
        <v>20000</v>
      </c>
      <c r="AN114" s="331">
        <v>20000</v>
      </c>
      <c r="AO114" s="44">
        <v>1</v>
      </c>
      <c r="AP114" s="23" t="s">
        <v>488</v>
      </c>
      <c r="AQ114" s="331">
        <f t="shared" si="8"/>
        <v>20000</v>
      </c>
      <c r="AR114" s="331">
        <v>20000</v>
      </c>
      <c r="AS114" s="288">
        <f t="shared" si="5"/>
        <v>200000</v>
      </c>
      <c r="AT114" s="288">
        <f t="shared" si="9"/>
        <v>20000</v>
      </c>
      <c r="AU114" s="288">
        <f t="shared" si="6"/>
        <v>20000</v>
      </c>
    </row>
    <row r="115" spans="2:47" thickBot="1" x14ac:dyDescent="0.4">
      <c r="B115" s="19"/>
      <c r="C115" s="523" t="s">
        <v>388</v>
      </c>
      <c r="D115" s="524"/>
      <c r="E115" s="23">
        <v>142</v>
      </c>
      <c r="F115" s="23" t="s">
        <v>488</v>
      </c>
      <c r="G115" s="330">
        <f t="shared" si="10"/>
        <v>6000</v>
      </c>
      <c r="H115" s="331">
        <v>852000</v>
      </c>
      <c r="I115" s="44">
        <v>66</v>
      </c>
      <c r="J115" s="23" t="s">
        <v>488</v>
      </c>
      <c r="K115" s="331">
        <f t="shared" si="11"/>
        <v>6000</v>
      </c>
      <c r="L115" s="331">
        <v>396000</v>
      </c>
      <c r="M115" s="44">
        <v>20</v>
      </c>
      <c r="N115" s="23" t="s">
        <v>488</v>
      </c>
      <c r="O115" s="331">
        <f t="shared" si="12"/>
        <v>6000</v>
      </c>
      <c r="P115" s="331">
        <v>120000</v>
      </c>
      <c r="Q115" s="44">
        <v>725</v>
      </c>
      <c r="R115" s="23" t="s">
        <v>488</v>
      </c>
      <c r="S115" s="331">
        <f t="shared" si="13"/>
        <v>6000</v>
      </c>
      <c r="T115" s="331">
        <v>4350000</v>
      </c>
      <c r="U115" s="44">
        <v>60</v>
      </c>
      <c r="V115" s="23" t="s">
        <v>488</v>
      </c>
      <c r="W115" s="331">
        <f t="shared" si="14"/>
        <v>6000</v>
      </c>
      <c r="X115" s="331">
        <v>360000</v>
      </c>
      <c r="Y115" s="44">
        <v>35</v>
      </c>
      <c r="Z115" s="23" t="s">
        <v>488</v>
      </c>
      <c r="AA115" s="331">
        <f t="shared" si="15"/>
        <v>6000</v>
      </c>
      <c r="AB115" s="331">
        <v>210000</v>
      </c>
      <c r="AC115" s="44">
        <v>170</v>
      </c>
      <c r="AD115" s="23" t="s">
        <v>488</v>
      </c>
      <c r="AE115" s="331">
        <f t="shared" si="16"/>
        <v>6000</v>
      </c>
      <c r="AF115" s="331">
        <v>1020000</v>
      </c>
      <c r="AG115" s="44">
        <v>280</v>
      </c>
      <c r="AH115" s="23" t="s">
        <v>488</v>
      </c>
      <c r="AI115" s="331">
        <f t="shared" si="17"/>
        <v>6000</v>
      </c>
      <c r="AJ115" s="331">
        <v>1680000</v>
      </c>
      <c r="AK115" s="44">
        <v>65</v>
      </c>
      <c r="AL115" s="23" t="s">
        <v>488</v>
      </c>
      <c r="AM115" s="331">
        <f t="shared" si="7"/>
        <v>7000</v>
      </c>
      <c r="AN115" s="331">
        <v>455000</v>
      </c>
      <c r="AO115" s="44">
        <v>17</v>
      </c>
      <c r="AP115" s="23" t="s">
        <v>488</v>
      </c>
      <c r="AQ115" s="331">
        <f t="shared" si="8"/>
        <v>7000</v>
      </c>
      <c r="AR115" s="331">
        <v>119000</v>
      </c>
      <c r="AS115" s="288">
        <f t="shared" si="5"/>
        <v>9562000</v>
      </c>
      <c r="AT115" s="288">
        <f t="shared" si="9"/>
        <v>6200</v>
      </c>
      <c r="AU115" s="288">
        <f t="shared" si="6"/>
        <v>6000</v>
      </c>
    </row>
    <row r="116" spans="2:47" thickBot="1" x14ac:dyDescent="0.4">
      <c r="B116" s="19"/>
      <c r="C116" s="523" t="s">
        <v>489</v>
      </c>
      <c r="D116" s="524"/>
      <c r="E116" s="23">
        <v>4</v>
      </c>
      <c r="F116" s="23" t="s">
        <v>488</v>
      </c>
      <c r="G116" s="330">
        <f t="shared" si="10"/>
        <v>12000</v>
      </c>
      <c r="H116" s="331">
        <v>48000</v>
      </c>
      <c r="I116" s="44">
        <v>5</v>
      </c>
      <c r="J116" s="23" t="s">
        <v>488</v>
      </c>
      <c r="K116" s="331">
        <f t="shared" si="11"/>
        <v>12000</v>
      </c>
      <c r="L116" s="331">
        <v>60000</v>
      </c>
      <c r="M116" s="44">
        <v>0</v>
      </c>
      <c r="N116" s="23" t="s">
        <v>488</v>
      </c>
      <c r="O116" s="331"/>
      <c r="P116" s="331">
        <v>0</v>
      </c>
      <c r="Q116" s="44">
        <v>5</v>
      </c>
      <c r="R116" s="23" t="s">
        <v>488</v>
      </c>
      <c r="S116" s="331">
        <f t="shared" si="13"/>
        <v>12000</v>
      </c>
      <c r="T116" s="331">
        <v>60000</v>
      </c>
      <c r="U116" s="44">
        <v>5</v>
      </c>
      <c r="V116" s="23" t="s">
        <v>488</v>
      </c>
      <c r="W116" s="331">
        <f t="shared" si="14"/>
        <v>12000</v>
      </c>
      <c r="X116" s="331">
        <v>60000</v>
      </c>
      <c r="Y116" s="44">
        <v>5</v>
      </c>
      <c r="Z116" s="23" t="s">
        <v>488</v>
      </c>
      <c r="AA116" s="331">
        <f t="shared" si="15"/>
        <v>12000</v>
      </c>
      <c r="AB116" s="331">
        <v>60000</v>
      </c>
      <c r="AC116" s="44">
        <v>5</v>
      </c>
      <c r="AD116" s="23" t="s">
        <v>488</v>
      </c>
      <c r="AE116" s="331">
        <f t="shared" si="16"/>
        <v>12000</v>
      </c>
      <c r="AF116" s="331">
        <v>60000</v>
      </c>
      <c r="AG116" s="44">
        <v>10</v>
      </c>
      <c r="AH116" s="23" t="s">
        <v>488</v>
      </c>
      <c r="AI116" s="331">
        <f t="shared" si="17"/>
        <v>12000</v>
      </c>
      <c r="AJ116" s="331">
        <v>120000</v>
      </c>
      <c r="AK116" s="44">
        <v>3</v>
      </c>
      <c r="AL116" s="23" t="s">
        <v>488</v>
      </c>
      <c r="AM116" s="331">
        <f t="shared" si="7"/>
        <v>10000</v>
      </c>
      <c r="AN116" s="331">
        <v>30000</v>
      </c>
      <c r="AO116" s="44">
        <v>0</v>
      </c>
      <c r="AP116" s="23" t="s">
        <v>488</v>
      </c>
      <c r="AQ116" s="331"/>
      <c r="AR116" s="331">
        <v>0</v>
      </c>
      <c r="AS116" s="288">
        <f t="shared" si="5"/>
        <v>498000</v>
      </c>
      <c r="AT116" s="288">
        <f t="shared" si="9"/>
        <v>11750</v>
      </c>
      <c r="AU116" s="288">
        <f t="shared" si="6"/>
        <v>10000</v>
      </c>
    </row>
    <row r="117" spans="2:47" thickBot="1" x14ac:dyDescent="0.4">
      <c r="B117" s="19"/>
      <c r="C117" s="523" t="s">
        <v>389</v>
      </c>
      <c r="D117" s="524"/>
      <c r="E117" s="23">
        <v>4</v>
      </c>
      <c r="F117" s="23" t="s">
        <v>488</v>
      </c>
      <c r="G117" s="330">
        <f t="shared" si="10"/>
        <v>6000</v>
      </c>
      <c r="H117" s="331">
        <v>24000</v>
      </c>
      <c r="I117" s="44">
        <v>5</v>
      </c>
      <c r="J117" s="23" t="s">
        <v>488</v>
      </c>
      <c r="K117" s="331">
        <f t="shared" si="11"/>
        <v>6000</v>
      </c>
      <c r="L117" s="331">
        <v>30000</v>
      </c>
      <c r="M117" s="44">
        <v>2</v>
      </c>
      <c r="N117" s="23" t="s">
        <v>488</v>
      </c>
      <c r="O117" s="331">
        <f>P117/M117</f>
        <v>6000</v>
      </c>
      <c r="P117" s="331">
        <v>12000</v>
      </c>
      <c r="Q117" s="44">
        <v>5</v>
      </c>
      <c r="R117" s="23" t="s">
        <v>488</v>
      </c>
      <c r="S117" s="331">
        <f t="shared" si="13"/>
        <v>6000</v>
      </c>
      <c r="T117" s="331">
        <v>30000</v>
      </c>
      <c r="U117" s="44">
        <v>5</v>
      </c>
      <c r="V117" s="23" t="s">
        <v>488</v>
      </c>
      <c r="W117" s="331">
        <f t="shared" si="14"/>
        <v>6000</v>
      </c>
      <c r="X117" s="331">
        <v>30000</v>
      </c>
      <c r="Y117" s="44">
        <v>5</v>
      </c>
      <c r="Z117" s="23" t="s">
        <v>488</v>
      </c>
      <c r="AA117" s="331">
        <f t="shared" si="15"/>
        <v>6000</v>
      </c>
      <c r="AB117" s="331">
        <v>30000</v>
      </c>
      <c r="AC117" s="44">
        <v>5</v>
      </c>
      <c r="AD117" s="23" t="s">
        <v>488</v>
      </c>
      <c r="AE117" s="331">
        <f t="shared" si="16"/>
        <v>6000</v>
      </c>
      <c r="AF117" s="331">
        <v>30000</v>
      </c>
      <c r="AG117" s="44">
        <v>10</v>
      </c>
      <c r="AH117" s="23" t="s">
        <v>488</v>
      </c>
      <c r="AI117" s="331">
        <f t="shared" si="17"/>
        <v>6000</v>
      </c>
      <c r="AJ117" s="331">
        <v>60000</v>
      </c>
      <c r="AK117" s="44">
        <v>2</v>
      </c>
      <c r="AL117" s="23" t="s">
        <v>488</v>
      </c>
      <c r="AM117" s="331">
        <f t="shared" si="7"/>
        <v>7000</v>
      </c>
      <c r="AN117" s="331">
        <v>14000</v>
      </c>
      <c r="AO117" s="44">
        <v>1</v>
      </c>
      <c r="AP117" s="23" t="s">
        <v>488</v>
      </c>
      <c r="AQ117" s="331">
        <f t="shared" ref="AQ117:AQ122" si="18">AR117/AO117</f>
        <v>7000</v>
      </c>
      <c r="AR117" s="331">
        <v>7000</v>
      </c>
      <c r="AS117" s="288">
        <f t="shared" si="5"/>
        <v>267000</v>
      </c>
      <c r="AT117" s="288">
        <f t="shared" si="9"/>
        <v>6200</v>
      </c>
      <c r="AU117" s="288">
        <f t="shared" si="6"/>
        <v>6000</v>
      </c>
    </row>
    <row r="118" spans="2:47" thickBot="1" x14ac:dyDescent="0.4">
      <c r="B118" s="19"/>
      <c r="C118" s="523" t="s">
        <v>241</v>
      </c>
      <c r="D118" s="524"/>
      <c r="E118" s="23">
        <v>142</v>
      </c>
      <c r="F118" s="23" t="s">
        <v>488</v>
      </c>
      <c r="G118" s="330">
        <f t="shared" si="10"/>
        <v>800</v>
      </c>
      <c r="H118" s="331">
        <v>113600</v>
      </c>
      <c r="I118" s="44">
        <v>66</v>
      </c>
      <c r="J118" s="23" t="s">
        <v>488</v>
      </c>
      <c r="K118" s="331">
        <f t="shared" si="11"/>
        <v>800</v>
      </c>
      <c r="L118" s="331">
        <v>52800</v>
      </c>
      <c r="M118" s="44">
        <v>20</v>
      </c>
      <c r="N118" s="23" t="s">
        <v>488</v>
      </c>
      <c r="O118" s="331">
        <f>P118/M118</f>
        <v>800</v>
      </c>
      <c r="P118" s="331">
        <v>16000</v>
      </c>
      <c r="Q118" s="44">
        <v>725</v>
      </c>
      <c r="R118" s="23" t="s">
        <v>488</v>
      </c>
      <c r="S118" s="331">
        <f t="shared" si="13"/>
        <v>800</v>
      </c>
      <c r="T118" s="331">
        <v>580000</v>
      </c>
      <c r="U118" s="44">
        <v>60</v>
      </c>
      <c r="V118" s="23" t="s">
        <v>488</v>
      </c>
      <c r="W118" s="331">
        <f t="shared" si="14"/>
        <v>800</v>
      </c>
      <c r="X118" s="331">
        <v>48000</v>
      </c>
      <c r="Y118" s="44">
        <v>35</v>
      </c>
      <c r="Z118" s="23" t="s">
        <v>488</v>
      </c>
      <c r="AA118" s="331">
        <f t="shared" si="15"/>
        <v>800</v>
      </c>
      <c r="AB118" s="331">
        <v>28000</v>
      </c>
      <c r="AC118" s="44">
        <v>170</v>
      </c>
      <c r="AD118" s="23" t="s">
        <v>488</v>
      </c>
      <c r="AE118" s="331">
        <f t="shared" si="16"/>
        <v>800</v>
      </c>
      <c r="AF118" s="331">
        <v>136000</v>
      </c>
      <c r="AG118" s="44">
        <v>280</v>
      </c>
      <c r="AH118" s="23" t="s">
        <v>488</v>
      </c>
      <c r="AI118" s="331">
        <f t="shared" si="17"/>
        <v>800</v>
      </c>
      <c r="AJ118" s="331">
        <v>224000</v>
      </c>
      <c r="AK118" s="44">
        <v>65</v>
      </c>
      <c r="AL118" s="23" t="s">
        <v>488</v>
      </c>
      <c r="AM118" s="331">
        <f t="shared" si="7"/>
        <v>600</v>
      </c>
      <c r="AN118" s="331">
        <v>39000</v>
      </c>
      <c r="AO118" s="44">
        <v>15</v>
      </c>
      <c r="AP118" s="23" t="s">
        <v>488</v>
      </c>
      <c r="AQ118" s="331">
        <f t="shared" si="18"/>
        <v>600</v>
      </c>
      <c r="AR118" s="331">
        <v>9000</v>
      </c>
      <c r="AS118" s="288">
        <f t="shared" si="5"/>
        <v>1246400</v>
      </c>
      <c r="AT118" s="288">
        <f t="shared" si="9"/>
        <v>760</v>
      </c>
      <c r="AU118" s="288">
        <f t="shared" si="6"/>
        <v>600</v>
      </c>
    </row>
    <row r="119" spans="2:47" thickBot="1" x14ac:dyDescent="0.4">
      <c r="B119" s="19"/>
      <c r="C119" s="523" t="s">
        <v>391</v>
      </c>
      <c r="D119" s="524"/>
      <c r="E119" s="23">
        <v>4</v>
      </c>
      <c r="F119" s="23" t="s">
        <v>488</v>
      </c>
      <c r="G119" s="330">
        <f t="shared" si="10"/>
        <v>800</v>
      </c>
      <c r="H119" s="331">
        <v>3200</v>
      </c>
      <c r="I119" s="44">
        <v>5</v>
      </c>
      <c r="J119" s="23" t="s">
        <v>488</v>
      </c>
      <c r="K119" s="331">
        <f t="shared" si="11"/>
        <v>800</v>
      </c>
      <c r="L119" s="331">
        <v>4000</v>
      </c>
      <c r="M119" s="44">
        <v>2</v>
      </c>
      <c r="N119" s="23" t="s">
        <v>488</v>
      </c>
      <c r="O119" s="331">
        <f>P119/M119</f>
        <v>800</v>
      </c>
      <c r="P119" s="331">
        <v>1600</v>
      </c>
      <c r="Q119" s="44">
        <v>5</v>
      </c>
      <c r="R119" s="23" t="s">
        <v>488</v>
      </c>
      <c r="S119" s="331">
        <f t="shared" si="13"/>
        <v>800</v>
      </c>
      <c r="T119" s="331">
        <v>4000</v>
      </c>
      <c r="U119" s="44">
        <v>5</v>
      </c>
      <c r="V119" s="23" t="s">
        <v>488</v>
      </c>
      <c r="W119" s="331">
        <f t="shared" si="14"/>
        <v>800</v>
      </c>
      <c r="X119" s="331">
        <v>4000</v>
      </c>
      <c r="Y119" s="44">
        <v>5</v>
      </c>
      <c r="Z119" s="23" t="s">
        <v>488</v>
      </c>
      <c r="AA119" s="331">
        <f t="shared" si="15"/>
        <v>800</v>
      </c>
      <c r="AB119" s="331">
        <v>4000</v>
      </c>
      <c r="AC119" s="44">
        <v>5</v>
      </c>
      <c r="AD119" s="23" t="s">
        <v>488</v>
      </c>
      <c r="AE119" s="331">
        <f t="shared" si="16"/>
        <v>800</v>
      </c>
      <c r="AF119" s="331">
        <v>4000</v>
      </c>
      <c r="AG119" s="44">
        <v>10</v>
      </c>
      <c r="AH119" s="23" t="s">
        <v>488</v>
      </c>
      <c r="AI119" s="331">
        <f t="shared" si="17"/>
        <v>800</v>
      </c>
      <c r="AJ119" s="331">
        <v>8000</v>
      </c>
      <c r="AK119" s="44">
        <v>3</v>
      </c>
      <c r="AL119" s="23" t="s">
        <v>488</v>
      </c>
      <c r="AM119" s="331">
        <f t="shared" si="7"/>
        <v>4000</v>
      </c>
      <c r="AN119" s="331">
        <v>12000</v>
      </c>
      <c r="AO119" s="44">
        <v>2</v>
      </c>
      <c r="AP119" s="23" t="s">
        <v>488</v>
      </c>
      <c r="AQ119" s="331">
        <f t="shared" si="18"/>
        <v>600</v>
      </c>
      <c r="AR119" s="331">
        <v>1200</v>
      </c>
      <c r="AS119" s="288">
        <f t="shared" si="5"/>
        <v>46000</v>
      </c>
      <c r="AT119" s="288">
        <f t="shared" si="9"/>
        <v>1100</v>
      </c>
      <c r="AU119" s="288">
        <f t="shared" si="6"/>
        <v>600</v>
      </c>
    </row>
    <row r="120" spans="2:47" thickBot="1" x14ac:dyDescent="0.4">
      <c r="B120" s="19"/>
      <c r="C120" s="523" t="s">
        <v>392</v>
      </c>
      <c r="D120" s="524"/>
      <c r="E120" s="23">
        <v>4</v>
      </c>
      <c r="F120" s="23" t="s">
        <v>488</v>
      </c>
      <c r="G120" s="330">
        <f t="shared" si="10"/>
        <v>1300</v>
      </c>
      <c r="H120" s="331">
        <v>5200</v>
      </c>
      <c r="I120" s="44">
        <v>5</v>
      </c>
      <c r="J120" s="23" t="s">
        <v>488</v>
      </c>
      <c r="K120" s="331">
        <f t="shared" si="11"/>
        <v>1300</v>
      </c>
      <c r="L120" s="331">
        <v>6500</v>
      </c>
      <c r="M120" s="44">
        <v>0</v>
      </c>
      <c r="N120" s="23" t="s">
        <v>488</v>
      </c>
      <c r="O120" s="331"/>
      <c r="P120" s="331">
        <v>0</v>
      </c>
      <c r="Q120" s="44">
        <v>5</v>
      </c>
      <c r="R120" s="23" t="s">
        <v>488</v>
      </c>
      <c r="S120" s="331">
        <f t="shared" si="13"/>
        <v>1500</v>
      </c>
      <c r="T120" s="331">
        <v>7500</v>
      </c>
      <c r="U120" s="44">
        <v>5</v>
      </c>
      <c r="V120" s="23" t="s">
        <v>488</v>
      </c>
      <c r="W120" s="331">
        <f t="shared" si="14"/>
        <v>1500</v>
      </c>
      <c r="X120" s="331">
        <v>7500</v>
      </c>
      <c r="Y120" s="44">
        <v>5</v>
      </c>
      <c r="Z120" s="23" t="s">
        <v>488</v>
      </c>
      <c r="AA120" s="331">
        <f t="shared" si="15"/>
        <v>1500</v>
      </c>
      <c r="AB120" s="331">
        <v>7500</v>
      </c>
      <c r="AC120" s="44">
        <v>5</v>
      </c>
      <c r="AD120" s="23" t="s">
        <v>488</v>
      </c>
      <c r="AE120" s="331">
        <f t="shared" si="16"/>
        <v>1500</v>
      </c>
      <c r="AF120" s="331">
        <v>7500</v>
      </c>
      <c r="AG120" s="44">
        <v>10</v>
      </c>
      <c r="AH120" s="23" t="s">
        <v>488</v>
      </c>
      <c r="AI120" s="331">
        <f t="shared" si="17"/>
        <v>1500</v>
      </c>
      <c r="AJ120" s="331">
        <v>15000</v>
      </c>
      <c r="AK120" s="44">
        <v>2</v>
      </c>
      <c r="AL120" s="23" t="s">
        <v>488</v>
      </c>
      <c r="AM120" s="331">
        <f t="shared" si="7"/>
        <v>15000</v>
      </c>
      <c r="AN120" s="331">
        <v>30000</v>
      </c>
      <c r="AO120" s="44">
        <v>1</v>
      </c>
      <c r="AP120" s="23" t="s">
        <v>488</v>
      </c>
      <c r="AQ120" s="331">
        <f t="shared" si="18"/>
        <v>3000</v>
      </c>
      <c r="AR120" s="331">
        <v>3000</v>
      </c>
      <c r="AS120" s="288">
        <f t="shared" si="5"/>
        <v>89700</v>
      </c>
      <c r="AT120" s="288">
        <f t="shared" si="9"/>
        <v>3122.2222222222222</v>
      </c>
      <c r="AU120" s="288">
        <f t="shared" si="6"/>
        <v>1300</v>
      </c>
    </row>
    <row r="121" spans="2:47" thickBot="1" x14ac:dyDescent="0.4">
      <c r="B121" s="19"/>
      <c r="C121" s="523" t="s">
        <v>345</v>
      </c>
      <c r="D121" s="524"/>
      <c r="E121" s="23">
        <v>2</v>
      </c>
      <c r="F121" s="23" t="s">
        <v>488</v>
      </c>
      <c r="G121" s="330">
        <f t="shared" si="10"/>
        <v>300</v>
      </c>
      <c r="H121" s="331">
        <v>600</v>
      </c>
      <c r="I121" s="44">
        <v>2</v>
      </c>
      <c r="J121" s="23" t="s">
        <v>488</v>
      </c>
      <c r="K121" s="331">
        <f t="shared" si="11"/>
        <v>300</v>
      </c>
      <c r="L121" s="331">
        <v>600</v>
      </c>
      <c r="M121" s="44">
        <v>2</v>
      </c>
      <c r="N121" s="23" t="s">
        <v>488</v>
      </c>
      <c r="O121" s="331">
        <f>P121/M121</f>
        <v>300</v>
      </c>
      <c r="P121" s="331">
        <v>600</v>
      </c>
      <c r="Q121" s="44">
        <v>4</v>
      </c>
      <c r="R121" s="23" t="s">
        <v>488</v>
      </c>
      <c r="S121" s="331">
        <f t="shared" si="13"/>
        <v>300</v>
      </c>
      <c r="T121" s="331">
        <v>1200</v>
      </c>
      <c r="U121" s="44">
        <v>2</v>
      </c>
      <c r="V121" s="23" t="s">
        <v>488</v>
      </c>
      <c r="W121" s="331">
        <f t="shared" si="14"/>
        <v>300</v>
      </c>
      <c r="X121" s="331">
        <v>600</v>
      </c>
      <c r="Y121" s="44">
        <v>5</v>
      </c>
      <c r="Z121" s="23" t="s">
        <v>488</v>
      </c>
      <c r="AA121" s="331">
        <f t="shared" si="15"/>
        <v>300</v>
      </c>
      <c r="AB121" s="331">
        <v>1500</v>
      </c>
      <c r="AC121" s="44">
        <v>2</v>
      </c>
      <c r="AD121" s="23" t="s">
        <v>488</v>
      </c>
      <c r="AE121" s="331">
        <f t="shared" si="16"/>
        <v>300</v>
      </c>
      <c r="AF121" s="331">
        <v>600</v>
      </c>
      <c r="AG121" s="44">
        <v>2</v>
      </c>
      <c r="AH121" s="23" t="s">
        <v>488</v>
      </c>
      <c r="AI121" s="331">
        <f t="shared" si="17"/>
        <v>300</v>
      </c>
      <c r="AJ121" s="331">
        <v>600</v>
      </c>
      <c r="AK121" s="44">
        <v>330</v>
      </c>
      <c r="AL121" s="23" t="s">
        <v>488</v>
      </c>
      <c r="AM121" s="331">
        <f t="shared" si="7"/>
        <v>300</v>
      </c>
      <c r="AN121" s="331">
        <v>99000</v>
      </c>
      <c r="AO121" s="44">
        <v>90</v>
      </c>
      <c r="AP121" s="23" t="s">
        <v>488</v>
      </c>
      <c r="AQ121" s="331">
        <f t="shared" si="18"/>
        <v>400</v>
      </c>
      <c r="AR121" s="331">
        <v>36000</v>
      </c>
      <c r="AS121" s="288">
        <f t="shared" si="5"/>
        <v>141300</v>
      </c>
      <c r="AT121" s="288">
        <f t="shared" si="9"/>
        <v>310</v>
      </c>
      <c r="AU121" s="288">
        <f t="shared" si="6"/>
        <v>300</v>
      </c>
    </row>
    <row r="122" spans="2:47" thickBot="1" x14ac:dyDescent="0.4">
      <c r="B122" s="19"/>
      <c r="C122" s="523" t="s">
        <v>347</v>
      </c>
      <c r="D122" s="524"/>
      <c r="E122" s="23">
        <v>40</v>
      </c>
      <c r="F122" s="23" t="s">
        <v>488</v>
      </c>
      <c r="G122" s="330">
        <f t="shared" si="10"/>
        <v>500</v>
      </c>
      <c r="H122" s="331">
        <v>20000</v>
      </c>
      <c r="I122" s="44">
        <v>15</v>
      </c>
      <c r="J122" s="23" t="s">
        <v>488</v>
      </c>
      <c r="K122" s="331">
        <f t="shared" si="11"/>
        <v>500</v>
      </c>
      <c r="L122" s="331">
        <v>7500</v>
      </c>
      <c r="M122" s="44">
        <v>5</v>
      </c>
      <c r="N122" s="23" t="s">
        <v>488</v>
      </c>
      <c r="O122" s="331">
        <f>P122/M122</f>
        <v>500</v>
      </c>
      <c r="P122" s="331">
        <v>2500</v>
      </c>
      <c r="Q122" s="44">
        <v>50</v>
      </c>
      <c r="R122" s="23" t="s">
        <v>488</v>
      </c>
      <c r="S122" s="331">
        <f t="shared" si="13"/>
        <v>500</v>
      </c>
      <c r="T122" s="331">
        <v>25000</v>
      </c>
      <c r="U122" s="44">
        <v>30</v>
      </c>
      <c r="V122" s="23" t="s">
        <v>488</v>
      </c>
      <c r="W122" s="331">
        <f t="shared" si="14"/>
        <v>500</v>
      </c>
      <c r="X122" s="331">
        <v>15000</v>
      </c>
      <c r="Y122" s="44">
        <v>5</v>
      </c>
      <c r="Z122" s="23" t="s">
        <v>488</v>
      </c>
      <c r="AA122" s="331">
        <f t="shared" si="15"/>
        <v>500</v>
      </c>
      <c r="AB122" s="331">
        <v>2500</v>
      </c>
      <c r="AC122" s="44">
        <v>40</v>
      </c>
      <c r="AD122" s="23" t="s">
        <v>488</v>
      </c>
      <c r="AE122" s="331">
        <f t="shared" si="16"/>
        <v>500</v>
      </c>
      <c r="AF122" s="331">
        <v>20000</v>
      </c>
      <c r="AG122" s="44">
        <v>60</v>
      </c>
      <c r="AH122" s="23" t="s">
        <v>488</v>
      </c>
      <c r="AI122" s="331">
        <f t="shared" si="17"/>
        <v>500</v>
      </c>
      <c r="AJ122" s="331">
        <v>30000</v>
      </c>
      <c r="AK122" s="44">
        <v>10</v>
      </c>
      <c r="AL122" s="23" t="s">
        <v>488</v>
      </c>
      <c r="AM122" s="331">
        <f t="shared" si="7"/>
        <v>7000</v>
      </c>
      <c r="AN122" s="331">
        <v>70000</v>
      </c>
      <c r="AO122" s="44">
        <v>10</v>
      </c>
      <c r="AP122" s="23" t="s">
        <v>488</v>
      </c>
      <c r="AQ122" s="331">
        <f t="shared" si="18"/>
        <v>7000</v>
      </c>
      <c r="AR122" s="331">
        <v>70000</v>
      </c>
      <c r="AS122" s="288">
        <f t="shared" si="5"/>
        <v>262500</v>
      </c>
      <c r="AT122" s="288">
        <f t="shared" si="9"/>
        <v>1800</v>
      </c>
      <c r="AU122" s="288">
        <f t="shared" si="6"/>
        <v>500</v>
      </c>
    </row>
    <row r="123" spans="2:47" thickBot="1" x14ac:dyDescent="0.4">
      <c r="B123" s="19"/>
      <c r="C123" s="523" t="s">
        <v>490</v>
      </c>
      <c r="D123" s="524"/>
      <c r="E123" s="23">
        <v>1</v>
      </c>
      <c r="F123" s="23" t="s">
        <v>351</v>
      </c>
      <c r="G123" s="330">
        <f t="shared" si="10"/>
        <v>600000</v>
      </c>
      <c r="H123" s="331">
        <v>600000</v>
      </c>
      <c r="I123" s="44">
        <v>1</v>
      </c>
      <c r="J123" s="23" t="s">
        <v>351</v>
      </c>
      <c r="K123" s="331">
        <f t="shared" si="11"/>
        <v>600000</v>
      </c>
      <c r="L123" s="331">
        <v>600000</v>
      </c>
      <c r="M123" s="44"/>
      <c r="N123" s="23" t="s">
        <v>351</v>
      </c>
      <c r="O123" s="331"/>
      <c r="P123" s="331">
        <v>500000</v>
      </c>
      <c r="Q123" s="44">
        <v>1</v>
      </c>
      <c r="R123" s="23" t="s">
        <v>351</v>
      </c>
      <c r="S123" s="331">
        <f t="shared" si="13"/>
        <v>600000</v>
      </c>
      <c r="T123" s="331">
        <v>600000</v>
      </c>
      <c r="U123" s="44">
        <v>1</v>
      </c>
      <c r="V123" s="23" t="s">
        <v>351</v>
      </c>
      <c r="W123" s="331"/>
      <c r="X123" s="331">
        <v>600000</v>
      </c>
      <c r="Y123" s="44">
        <v>1</v>
      </c>
      <c r="Z123" s="23" t="s">
        <v>351</v>
      </c>
      <c r="AA123" s="331"/>
      <c r="AB123" s="331">
        <v>500000</v>
      </c>
      <c r="AC123" s="44">
        <v>1</v>
      </c>
      <c r="AD123" s="23" t="s">
        <v>351</v>
      </c>
      <c r="AE123" s="331"/>
      <c r="AF123" s="331">
        <v>600000</v>
      </c>
      <c r="AG123" s="44">
        <v>1</v>
      </c>
      <c r="AH123" s="23" t="s">
        <v>351</v>
      </c>
      <c r="AI123" s="331"/>
      <c r="AJ123" s="331">
        <v>600000</v>
      </c>
      <c r="AK123" s="44">
        <v>0</v>
      </c>
      <c r="AL123" s="23" t="s">
        <v>351</v>
      </c>
      <c r="AM123" s="331"/>
      <c r="AN123" s="331">
        <v>0</v>
      </c>
      <c r="AO123" s="44">
        <v>0</v>
      </c>
      <c r="AP123" s="23" t="s">
        <v>351</v>
      </c>
      <c r="AQ123" s="331"/>
      <c r="AR123" s="331">
        <v>0</v>
      </c>
      <c r="AS123" s="288">
        <f t="shared" si="5"/>
        <v>4600000</v>
      </c>
      <c r="AT123" s="288"/>
      <c r="AU123" s="288">
        <f t="shared" si="6"/>
        <v>600000</v>
      </c>
    </row>
    <row r="124" spans="2:47" thickBot="1" x14ac:dyDescent="0.4">
      <c r="B124" s="19"/>
      <c r="C124" s="523" t="s">
        <v>491</v>
      </c>
      <c r="D124" s="524"/>
      <c r="E124" s="23"/>
      <c r="F124" s="23" t="s">
        <v>492</v>
      </c>
      <c r="G124" s="330"/>
      <c r="H124" s="331">
        <v>933000</v>
      </c>
      <c r="I124" s="44"/>
      <c r="J124" s="23" t="s">
        <v>492</v>
      </c>
      <c r="K124" s="331"/>
      <c r="L124" s="331">
        <v>11500</v>
      </c>
      <c r="M124" s="44"/>
      <c r="N124" s="23" t="s">
        <v>492</v>
      </c>
      <c r="O124" s="331"/>
      <c r="P124" s="331">
        <v>143000</v>
      </c>
      <c r="Q124" s="44"/>
      <c r="R124" s="23" t="s">
        <v>492</v>
      </c>
      <c r="S124" s="331"/>
      <c r="T124" s="331">
        <v>6300</v>
      </c>
      <c r="U124" s="44" t="s">
        <v>492</v>
      </c>
      <c r="V124" s="23" t="s">
        <v>492</v>
      </c>
      <c r="W124" s="331"/>
      <c r="X124" s="331">
        <v>139400</v>
      </c>
      <c r="Y124" s="44"/>
      <c r="Z124" s="23" t="s">
        <v>492</v>
      </c>
      <c r="AA124" s="331"/>
      <c r="AB124" s="331">
        <v>35700</v>
      </c>
      <c r="AC124" s="44"/>
      <c r="AD124" s="23" t="s">
        <v>492</v>
      </c>
      <c r="AE124" s="331"/>
      <c r="AF124" s="331">
        <v>642300</v>
      </c>
      <c r="AG124" s="44"/>
      <c r="AH124" s="23" t="s">
        <v>492</v>
      </c>
      <c r="AI124" s="331"/>
      <c r="AJ124" s="331">
        <v>1000</v>
      </c>
      <c r="AK124" s="44">
        <v>0</v>
      </c>
      <c r="AL124" s="23" t="s">
        <v>492</v>
      </c>
      <c r="AM124" s="331"/>
      <c r="AN124" s="331">
        <v>0</v>
      </c>
      <c r="AO124" s="44">
        <v>0</v>
      </c>
      <c r="AP124" s="23" t="s">
        <v>492</v>
      </c>
      <c r="AQ124" s="331"/>
      <c r="AR124" s="331">
        <v>0</v>
      </c>
      <c r="AS124" s="288">
        <f t="shared" si="5"/>
        <v>1912200</v>
      </c>
      <c r="AT124" s="288"/>
      <c r="AU124" s="288">
        <f t="shared" si="6"/>
        <v>0</v>
      </c>
    </row>
    <row r="125" spans="2:47" thickBot="1" x14ac:dyDescent="0.4">
      <c r="B125" s="19"/>
      <c r="C125" s="523" t="s">
        <v>493</v>
      </c>
      <c r="D125" s="524"/>
      <c r="E125" s="23"/>
      <c r="F125" s="23"/>
      <c r="G125" s="330"/>
      <c r="H125" s="331"/>
      <c r="I125" s="44"/>
      <c r="J125" s="23"/>
      <c r="K125" s="331"/>
      <c r="L125" s="331"/>
      <c r="M125" s="44"/>
      <c r="N125" s="23"/>
      <c r="O125" s="331"/>
      <c r="P125" s="331"/>
      <c r="Q125" s="44">
        <v>3</v>
      </c>
      <c r="R125" s="23" t="s">
        <v>488</v>
      </c>
      <c r="S125" s="331"/>
      <c r="T125" s="331">
        <v>360000</v>
      </c>
      <c r="U125" s="44"/>
      <c r="V125" s="23"/>
      <c r="W125" s="331"/>
      <c r="X125" s="331"/>
      <c r="Y125" s="44"/>
      <c r="Z125" s="23"/>
      <c r="AA125" s="331"/>
      <c r="AB125" s="331"/>
      <c r="AC125" s="44"/>
      <c r="AD125" s="23"/>
      <c r="AE125" s="331"/>
      <c r="AF125" s="331"/>
      <c r="AG125" s="44">
        <v>1</v>
      </c>
      <c r="AH125" s="23" t="s">
        <v>351</v>
      </c>
      <c r="AI125" s="331"/>
      <c r="AJ125" s="331">
        <v>80000</v>
      </c>
      <c r="AK125" s="44"/>
      <c r="AL125" s="23"/>
      <c r="AM125" s="331"/>
      <c r="AN125" s="331"/>
      <c r="AO125" s="44"/>
      <c r="AP125" s="23"/>
      <c r="AQ125" s="331"/>
      <c r="AR125" s="331"/>
      <c r="AS125" s="288">
        <f t="shared" si="5"/>
        <v>440000</v>
      </c>
      <c r="AT125" s="288"/>
      <c r="AU125" s="288">
        <f t="shared" si="6"/>
        <v>0</v>
      </c>
    </row>
    <row r="126" spans="2:47" thickBot="1" x14ac:dyDescent="0.4">
      <c r="B126" s="19"/>
      <c r="C126" s="523" t="s">
        <v>494</v>
      </c>
      <c r="D126" s="524"/>
      <c r="E126" s="23"/>
      <c r="F126" s="23"/>
      <c r="G126" s="330"/>
      <c r="H126" s="331"/>
      <c r="I126" s="44"/>
      <c r="J126" s="23"/>
      <c r="K126" s="331"/>
      <c r="L126" s="331"/>
      <c r="M126" s="44"/>
      <c r="N126" s="23"/>
      <c r="O126" s="331"/>
      <c r="P126" s="331"/>
      <c r="Q126" s="44"/>
      <c r="R126" s="23"/>
      <c r="S126" s="331"/>
      <c r="T126" s="331"/>
      <c r="U126" s="44"/>
      <c r="V126" s="23"/>
      <c r="W126" s="331"/>
      <c r="X126" s="331"/>
      <c r="Y126" s="44"/>
      <c r="Z126" s="23"/>
      <c r="AA126" s="331"/>
      <c r="AB126" s="331"/>
      <c r="AC126" s="44"/>
      <c r="AD126" s="23"/>
      <c r="AE126" s="331"/>
      <c r="AF126" s="331"/>
      <c r="AG126" s="44"/>
      <c r="AH126" s="23"/>
      <c r="AI126" s="331"/>
      <c r="AJ126" s="331"/>
      <c r="AK126" s="44"/>
      <c r="AL126" s="23" t="s">
        <v>351</v>
      </c>
      <c r="AM126" s="331"/>
      <c r="AN126" s="331">
        <v>40000</v>
      </c>
      <c r="AO126" s="44"/>
      <c r="AP126" s="23" t="s">
        <v>351</v>
      </c>
      <c r="AQ126" s="331"/>
      <c r="AR126" s="331">
        <v>35000</v>
      </c>
      <c r="AS126" s="288">
        <f t="shared" si="5"/>
        <v>75000</v>
      </c>
      <c r="AT126" s="288"/>
      <c r="AU126" s="288">
        <f t="shared" si="6"/>
        <v>0</v>
      </c>
    </row>
    <row r="127" spans="2:47" thickBot="1" x14ac:dyDescent="0.4">
      <c r="B127" s="3"/>
      <c r="C127" s="9"/>
      <c r="D127" s="9"/>
      <c r="E127" s="3"/>
      <c r="F127" s="3"/>
      <c r="G127" s="3"/>
      <c r="H127" s="3"/>
      <c r="I127" s="3"/>
      <c r="J127" s="3"/>
      <c r="K127" s="3"/>
      <c r="L127" s="3"/>
      <c r="M127" s="3"/>
      <c r="N127" s="3"/>
      <c r="O127" s="3"/>
      <c r="P127" s="3"/>
      <c r="Q127" s="3"/>
      <c r="R127" s="3"/>
      <c r="S127" s="3"/>
      <c r="T127"/>
      <c r="U127" s="3"/>
      <c r="V127" s="3"/>
      <c r="W127" s="3"/>
      <c r="X127" s="3"/>
      <c r="Y127" s="3"/>
      <c r="Z127" s="3"/>
      <c r="AA127" s="3"/>
      <c r="AB127" s="3"/>
      <c r="AC127" s="3"/>
      <c r="AD127" s="3"/>
      <c r="AE127" s="3"/>
      <c r="AF127" s="3"/>
      <c r="AG127"/>
      <c r="AH127" s="3"/>
      <c r="AI127" s="3"/>
      <c r="AJ127"/>
      <c r="AK127" s="3"/>
      <c r="AL127" s="3"/>
      <c r="AM127" s="3"/>
      <c r="AN127" s="3"/>
      <c r="AO127" s="3"/>
      <c r="AP127" s="3"/>
      <c r="AQ127" s="3"/>
      <c r="AR127" s="3"/>
      <c r="AS127" s="3"/>
      <c r="AT127" s="3"/>
      <c r="AU127" s="3"/>
    </row>
    <row r="128" spans="2:47" thickBot="1" x14ac:dyDescent="0.4">
      <c r="B128" s="3"/>
      <c r="C128" s="9"/>
      <c r="D128" s="9"/>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2:47" ht="25" customHeight="1" thickBot="1" x14ac:dyDescent="0.4">
      <c r="B129" s="158"/>
      <c r="C129" s="511" t="s">
        <v>495</v>
      </c>
      <c r="D129" s="512"/>
      <c r="E129" s="512"/>
      <c r="F129" s="301"/>
      <c r="G129" s="3"/>
      <c r="H129" s="509" t="s">
        <v>496</v>
      </c>
      <c r="I129" s="510"/>
      <c r="J129" s="510"/>
      <c r="K129" s="510"/>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2:47" thickBot="1" x14ac:dyDescent="0.4">
      <c r="B130" s="125"/>
      <c r="C130" s="516" t="s">
        <v>497</v>
      </c>
      <c r="D130" s="517"/>
      <c r="E130" s="518"/>
      <c r="F130" s="328">
        <v>17922</v>
      </c>
      <c r="G130" s="3"/>
      <c r="H130" s="31" t="s">
        <v>498</v>
      </c>
      <c r="I130" s="31" t="s">
        <v>394</v>
      </c>
      <c r="J130" s="508" t="s">
        <v>360</v>
      </c>
      <c r="K130" s="508"/>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2:47" thickBot="1" x14ac:dyDescent="0.4">
      <c r="B131" s="125"/>
      <c r="C131" s="516" t="s">
        <v>499</v>
      </c>
      <c r="D131" s="517"/>
      <c r="E131" s="518"/>
      <c r="F131" s="328">
        <v>19776</v>
      </c>
      <c r="G131" s="3"/>
      <c r="H131" s="23">
        <v>2.5</v>
      </c>
      <c r="I131" s="328">
        <v>103</v>
      </c>
      <c r="J131" s="507" t="s">
        <v>500</v>
      </c>
      <c r="K131" s="507"/>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2:47" thickBot="1" x14ac:dyDescent="0.4">
      <c r="B132" s="125"/>
      <c r="C132" s="516" t="s">
        <v>501</v>
      </c>
      <c r="D132" s="517"/>
      <c r="E132" s="518"/>
      <c r="F132" s="328">
        <v>22042</v>
      </c>
      <c r="G132" s="3"/>
      <c r="H132" s="23">
        <v>4</v>
      </c>
      <c r="I132" s="328">
        <v>144</v>
      </c>
      <c r="J132" s="507" t="s">
        <v>500</v>
      </c>
      <c r="K132" s="507"/>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row>
    <row r="133" spans="2:47" thickBot="1" x14ac:dyDescent="0.4">
      <c r="B133" s="125"/>
      <c r="C133" s="516" t="s">
        <v>502</v>
      </c>
      <c r="D133" s="517"/>
      <c r="E133" s="518"/>
      <c r="F133" s="328">
        <v>22351</v>
      </c>
      <c r="G133" s="3"/>
      <c r="H133" s="23">
        <v>6</v>
      </c>
      <c r="I133" s="328">
        <v>196</v>
      </c>
      <c r="J133" s="507" t="s">
        <v>500</v>
      </c>
      <c r="K133" s="507"/>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row>
    <row r="134" spans="2:47" ht="23" customHeight="1" thickBot="1" x14ac:dyDescent="0.4">
      <c r="B134" s="125"/>
      <c r="C134" s="516" t="s">
        <v>503</v>
      </c>
      <c r="D134" s="517"/>
      <c r="E134" s="518"/>
      <c r="F134" s="328">
        <v>22042</v>
      </c>
      <c r="G134" s="3"/>
      <c r="H134" s="23">
        <v>10</v>
      </c>
      <c r="I134" s="328">
        <v>309</v>
      </c>
      <c r="J134" s="507" t="s">
        <v>500</v>
      </c>
      <c r="K134" s="507"/>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row>
    <row r="135" spans="2:47" ht="25.5" customHeight="1" thickBot="1" x14ac:dyDescent="0.4">
      <c r="B135" s="125"/>
      <c r="C135" s="516" t="s">
        <v>504</v>
      </c>
      <c r="D135" s="517"/>
      <c r="E135" s="518"/>
      <c r="F135" s="328">
        <v>25441</v>
      </c>
      <c r="G135" s="3"/>
      <c r="H135" s="23">
        <v>16</v>
      </c>
      <c r="I135" s="328">
        <v>427</v>
      </c>
      <c r="J135" s="507" t="s">
        <v>500</v>
      </c>
      <c r="K135" s="507"/>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row>
    <row r="136" spans="2:47" ht="30" customHeight="1" thickBot="1" x14ac:dyDescent="0.4">
      <c r="B136" s="125"/>
      <c r="C136" s="516" t="s">
        <v>505</v>
      </c>
      <c r="D136" s="517"/>
      <c r="E136" s="518"/>
      <c r="F136" s="328">
        <v>27707</v>
      </c>
      <c r="G136" s="3"/>
      <c r="H136" s="23">
        <v>25</v>
      </c>
      <c r="I136" s="328">
        <v>659</v>
      </c>
      <c r="J136" s="507" t="s">
        <v>500</v>
      </c>
      <c r="K136" s="507"/>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row>
    <row r="137" spans="2:47" ht="31" customHeight="1" thickBot="1" x14ac:dyDescent="0.4">
      <c r="B137" s="125"/>
      <c r="C137" s="516" t="s">
        <v>506</v>
      </c>
      <c r="D137" s="517"/>
      <c r="E137" s="518"/>
      <c r="F137" s="328">
        <v>29973</v>
      </c>
      <c r="G137" s="3"/>
      <c r="H137" s="23">
        <v>35</v>
      </c>
      <c r="I137" s="328">
        <v>896</v>
      </c>
      <c r="J137" s="507" t="s">
        <v>500</v>
      </c>
      <c r="K137" s="507"/>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row>
    <row r="138" spans="2:47" thickBot="1" x14ac:dyDescent="0.4">
      <c r="B138" s="3"/>
      <c r="C138" s="9"/>
      <c r="D138" s="9"/>
      <c r="E138" s="3"/>
      <c r="F138" s="3"/>
      <c r="G138" s="3"/>
      <c r="H138" s="23">
        <v>50</v>
      </c>
      <c r="I138" s="328">
        <v>1236</v>
      </c>
      <c r="J138" s="507" t="s">
        <v>500</v>
      </c>
      <c r="K138" s="507"/>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row>
    <row r="139" spans="2:47" ht="25" customHeight="1" thickBot="1" x14ac:dyDescent="0.4">
      <c r="G139" s="3"/>
      <c r="H139" s="23">
        <v>70</v>
      </c>
      <c r="I139" s="328">
        <v>1236</v>
      </c>
      <c r="J139" s="507" t="s">
        <v>500</v>
      </c>
      <c r="K139" s="507"/>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row>
    <row r="140" spans="2:47" thickBot="1" x14ac:dyDescent="0.4">
      <c r="G140" s="3"/>
      <c r="H140" s="23">
        <v>95</v>
      </c>
      <c r="I140" s="328">
        <v>2318</v>
      </c>
      <c r="J140" s="507" t="s">
        <v>500</v>
      </c>
      <c r="K140" s="507"/>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row>
    <row r="141" spans="2:47" thickBot="1" x14ac:dyDescent="0.4">
      <c r="G141" s="3"/>
      <c r="H141" s="23">
        <v>120</v>
      </c>
      <c r="I141" s="328">
        <v>3039</v>
      </c>
      <c r="J141" s="507" t="s">
        <v>500</v>
      </c>
      <c r="K141" s="507"/>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row>
    <row r="142" spans="2:47" thickBot="1" x14ac:dyDescent="0.4">
      <c r="G142" s="3"/>
      <c r="H142" s="23">
        <v>150</v>
      </c>
      <c r="I142" s="328">
        <v>3811</v>
      </c>
      <c r="J142" s="507" t="s">
        <v>500</v>
      </c>
      <c r="K142" s="507"/>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2:47" thickBot="1" x14ac:dyDescent="0.4">
      <c r="B143" s="3"/>
      <c r="C143" s="9"/>
      <c r="D143" s="9"/>
      <c r="E143" s="3"/>
      <c r="F143" s="3"/>
      <c r="G143"/>
      <c r="H143" s="3"/>
      <c r="I143" s="3"/>
      <c r="J143"/>
      <c r="K143"/>
      <c r="L143" s="3"/>
      <c r="M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row>
    <row r="144" spans="2:47" ht="25" customHeight="1" thickBot="1" x14ac:dyDescent="0.4">
      <c r="B144" s="161"/>
      <c r="C144" s="465" t="s">
        <v>512</v>
      </c>
      <c r="D144" s="513"/>
      <c r="E144" s="162"/>
      <c r="F144" s="3"/>
      <c r="G144" s="3"/>
      <c r="H144" s="509" t="s">
        <v>513</v>
      </c>
      <c r="I144" s="510"/>
      <c r="J144" s="510"/>
      <c r="K144" s="510"/>
      <c r="L144" s="3"/>
      <c r="M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row>
    <row r="145" spans="2:47" thickBot="1" x14ac:dyDescent="0.4">
      <c r="B145" s="31"/>
      <c r="C145" s="31" t="s">
        <v>498</v>
      </c>
      <c r="D145" s="31" t="s">
        <v>394</v>
      </c>
      <c r="E145" s="3"/>
      <c r="F145" s="3"/>
      <c r="G145" s="3"/>
      <c r="H145" s="31" t="s">
        <v>498</v>
      </c>
      <c r="I145" s="31" t="s">
        <v>394</v>
      </c>
      <c r="J145" s="508" t="s">
        <v>360</v>
      </c>
      <c r="K145" s="508"/>
      <c r="L145" s="3"/>
      <c r="M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2:47" thickBot="1" x14ac:dyDescent="0.4">
      <c r="B146" s="23"/>
      <c r="C146" s="23">
        <v>3</v>
      </c>
      <c r="D146" s="328">
        <v>280000</v>
      </c>
      <c r="E146" s="3"/>
      <c r="F146" s="3"/>
      <c r="G146" s="3"/>
      <c r="H146" s="23">
        <v>6</v>
      </c>
      <c r="I146" s="328">
        <v>1710</v>
      </c>
      <c r="J146" s="507" t="s">
        <v>500</v>
      </c>
      <c r="K146" s="507"/>
      <c r="L146" s="3"/>
      <c r="M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row>
    <row r="147" spans="2:47" thickBot="1" x14ac:dyDescent="0.4">
      <c r="B147" s="23"/>
      <c r="C147" s="23">
        <v>4</v>
      </c>
      <c r="D147" s="328">
        <v>320000</v>
      </c>
      <c r="E147" s="3"/>
      <c r="F147" s="3"/>
      <c r="G147" s="3"/>
      <c r="H147" s="23">
        <v>10</v>
      </c>
      <c r="I147" s="328">
        <v>1710</v>
      </c>
      <c r="J147" s="507" t="s">
        <v>500</v>
      </c>
      <c r="K147" s="507"/>
      <c r="L147" s="3"/>
      <c r="M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row>
    <row r="148" spans="2:47" thickBot="1" x14ac:dyDescent="0.4">
      <c r="B148" s="23"/>
      <c r="C148" s="23">
        <v>5</v>
      </c>
      <c r="D148" s="328">
        <v>355000</v>
      </c>
      <c r="E148" s="3"/>
      <c r="F148" s="3"/>
      <c r="G148" s="3"/>
      <c r="H148" s="23">
        <v>16</v>
      </c>
      <c r="I148" s="328">
        <v>1710</v>
      </c>
      <c r="J148" s="507" t="s">
        <v>500</v>
      </c>
      <c r="K148" s="507"/>
      <c r="L148" s="3"/>
      <c r="M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row>
    <row r="149" spans="2:47" thickBot="1" x14ac:dyDescent="0.4">
      <c r="B149" s="23"/>
      <c r="C149" s="23">
        <v>7.5</v>
      </c>
      <c r="D149" s="328">
        <v>390000</v>
      </c>
      <c r="E149" s="3"/>
      <c r="F149" s="3"/>
      <c r="G149" s="3"/>
      <c r="H149" s="23">
        <v>32</v>
      </c>
      <c r="I149" s="328">
        <v>6386</v>
      </c>
      <c r="J149" s="507" t="s">
        <v>500</v>
      </c>
      <c r="K149" s="507"/>
      <c r="L149" s="3"/>
      <c r="M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row>
    <row r="150" spans="2:47" thickBot="1" x14ac:dyDescent="0.4">
      <c r="B150" s="23"/>
      <c r="C150" s="23">
        <v>9</v>
      </c>
      <c r="D150" s="328">
        <v>420000</v>
      </c>
      <c r="E150" s="3"/>
      <c r="F150" s="3"/>
      <c r="G150" s="3"/>
      <c r="H150" s="23">
        <v>63</v>
      </c>
      <c r="I150" s="328">
        <v>6386</v>
      </c>
      <c r="J150" s="507" t="s">
        <v>500</v>
      </c>
      <c r="K150" s="507"/>
      <c r="L150" s="3"/>
      <c r="M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row>
    <row r="151" spans="2:47" thickBot="1" x14ac:dyDescent="0.4">
      <c r="B151" s="23"/>
      <c r="C151" s="23">
        <v>12</v>
      </c>
      <c r="D151" s="328">
        <v>490000</v>
      </c>
      <c r="E151" s="3"/>
      <c r="F151" s="3"/>
      <c r="G151" s="3"/>
      <c r="H151" s="23">
        <v>100</v>
      </c>
      <c r="I151" s="328">
        <v>7045</v>
      </c>
      <c r="J151" s="507" t="s">
        <v>500</v>
      </c>
      <c r="K151" s="507"/>
      <c r="L151" s="3"/>
      <c r="M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row>
    <row r="152" spans="2:47" thickBot="1" x14ac:dyDescent="0.4">
      <c r="B152" s="23"/>
      <c r="C152" s="23">
        <v>15</v>
      </c>
      <c r="D152" s="328">
        <v>510000</v>
      </c>
      <c r="E152" s="3"/>
      <c r="F152" s="3"/>
      <c r="G152" s="3"/>
      <c r="H152" s="3"/>
      <c r="I152"/>
      <c r="J152" s="3"/>
      <c r="K152"/>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row>
    <row r="153" spans="2:47" thickBot="1" x14ac:dyDescent="0.4">
      <c r="B153" s="23"/>
      <c r="C153" s="23">
        <v>20</v>
      </c>
      <c r="D153" s="328">
        <v>560000</v>
      </c>
      <c r="E153" s="3"/>
      <c r="F153"/>
      <c r="G153"/>
      <c r="H153" s="3"/>
      <c r="I153" s="3"/>
      <c r="J153" s="3"/>
      <c r="K15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2:47" thickBot="1" x14ac:dyDescent="0.4">
      <c r="B154" s="23"/>
      <c r="C154" s="23">
        <v>25</v>
      </c>
      <c r="D154" s="328">
        <v>590000</v>
      </c>
      <c r="E154" s="3"/>
      <c r="F154"/>
      <c r="G154"/>
      <c r="H154" s="3"/>
      <c r="I154" s="3"/>
      <c r="J154" s="3"/>
      <c r="K154"/>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row>
    <row r="155" spans="2:47" thickBot="1" x14ac:dyDescent="0.4">
      <c r="B155" s="3"/>
      <c r="C155" s="9"/>
      <c r="D155" s="9"/>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row>
    <row r="156" spans="2:47" ht="14.5" x14ac:dyDescent="0.35"/>
  </sheetData>
  <sheetProtection algorithmName="SHA-512" hashValue="FLb7NpzIFabeeEYmaRIHhbDnw45vI3L0yCwg4SUH0WmbBOW9b+tPmuMoyvYFPYhS2vA5BcabOv6SnoT7HsyMnw==" saltValue="knGaoRUKzDwBDX+t+EfjSg==" spinCount="100000" sheet="1" formatCells="0"/>
  <mergeCells count="101">
    <mergeCell ref="B4:J4"/>
    <mergeCell ref="F69:I69"/>
    <mergeCell ref="C53:H53"/>
    <mergeCell ref="C51:H51"/>
    <mergeCell ref="C28:H28"/>
    <mergeCell ref="C74:D74"/>
    <mergeCell ref="C69:D69"/>
    <mergeCell ref="C57:D57"/>
    <mergeCell ref="C56:D56"/>
    <mergeCell ref="C73:D73"/>
    <mergeCell ref="C30:H30"/>
    <mergeCell ref="U82:W82"/>
    <mergeCell ref="X82:Z82"/>
    <mergeCell ref="AA82:AC82"/>
    <mergeCell ref="AD82:AF82"/>
    <mergeCell ref="B82:E82"/>
    <mergeCell ref="F82:H82"/>
    <mergeCell ref="I82:K82"/>
    <mergeCell ref="L82:N82"/>
    <mergeCell ref="O82:Q82"/>
    <mergeCell ref="R82:T82"/>
    <mergeCell ref="J136:K136"/>
    <mergeCell ref="C99:D100"/>
    <mergeCell ref="C118:D118"/>
    <mergeCell ref="C119:D119"/>
    <mergeCell ref="C120:D120"/>
    <mergeCell ref="C121:D121"/>
    <mergeCell ref="C122:D122"/>
    <mergeCell ref="C113:D113"/>
    <mergeCell ref="C114:D114"/>
    <mergeCell ref="C115:D115"/>
    <mergeCell ref="C116:D116"/>
    <mergeCell ref="C117:D117"/>
    <mergeCell ref="C101:D101"/>
    <mergeCell ref="C102:D102"/>
    <mergeCell ref="C103:D103"/>
    <mergeCell ref="C104:D104"/>
    <mergeCell ref="C105:D105"/>
    <mergeCell ref="C106:D106"/>
    <mergeCell ref="C135:E135"/>
    <mergeCell ref="C136:E136"/>
    <mergeCell ref="C137:E137"/>
    <mergeCell ref="J130:K130"/>
    <mergeCell ref="C107:D107"/>
    <mergeCell ref="C108:D108"/>
    <mergeCell ref="C109:D109"/>
    <mergeCell ref="J149:K149"/>
    <mergeCell ref="J138:K138"/>
    <mergeCell ref="J139:K139"/>
    <mergeCell ref="J140:K140"/>
    <mergeCell ref="J141:K141"/>
    <mergeCell ref="J142:K142"/>
    <mergeCell ref="J131:K131"/>
    <mergeCell ref="J132:K132"/>
    <mergeCell ref="C130:E130"/>
    <mergeCell ref="C131:E131"/>
    <mergeCell ref="C132:E132"/>
    <mergeCell ref="C133:E133"/>
    <mergeCell ref="C110:D110"/>
    <mergeCell ref="C111:D111"/>
    <mergeCell ref="C112:D112"/>
    <mergeCell ref="C123:D123"/>
    <mergeCell ref="C124:D124"/>
    <mergeCell ref="C125:D125"/>
    <mergeCell ref="C126:D126"/>
    <mergeCell ref="AS99:AS100"/>
    <mergeCell ref="AT99:AT100"/>
    <mergeCell ref="AU99:AU100"/>
    <mergeCell ref="AO99:AR99"/>
    <mergeCell ref="I99:L99"/>
    <mergeCell ref="M99:P99"/>
    <mergeCell ref="Q99:T99"/>
    <mergeCell ref="U99:X99"/>
    <mergeCell ref="Y99:AB99"/>
    <mergeCell ref="AC99:AF99"/>
    <mergeCell ref="AG99:AJ99"/>
    <mergeCell ref="AK99:AN99"/>
    <mergeCell ref="B2:J2"/>
    <mergeCell ref="H76:I76"/>
    <mergeCell ref="F76:G76"/>
    <mergeCell ref="B99:B100"/>
    <mergeCell ref="E99:H99"/>
    <mergeCell ref="J150:K150"/>
    <mergeCell ref="J151:K151"/>
    <mergeCell ref="J145:K145"/>
    <mergeCell ref="H144:K144"/>
    <mergeCell ref="C129:E129"/>
    <mergeCell ref="H129:K129"/>
    <mergeCell ref="J146:K146"/>
    <mergeCell ref="J147:K147"/>
    <mergeCell ref="J148:K148"/>
    <mergeCell ref="J133:K133"/>
    <mergeCell ref="J134:K134"/>
    <mergeCell ref="J135:K135"/>
    <mergeCell ref="J137:K137"/>
    <mergeCell ref="G56:J56"/>
    <mergeCell ref="C144:D144"/>
    <mergeCell ref="I57:J57"/>
    <mergeCell ref="I58:J58"/>
    <mergeCell ref="I59:J59"/>
    <mergeCell ref="C134:E134"/>
  </mergeCells>
  <dataValidations count="1">
    <dataValidation type="decimal" operator="greaterThanOrEqual" allowBlank="1" showInputMessage="1" showErrorMessage="1" sqref="F8:H27 D31:D50 F33 F31:H32 G33:H34 F35:H50 D8:D27" xr:uid="{9127D4A9-66B9-47CC-8160-DE3018357543}">
      <formula1>0</formula1>
    </dataValidation>
  </dataValidations>
  <pageMargins left="0.7" right="0.7" top="0.75" bottom="0.75" header="0.3" footer="0.3"/>
  <pageSetup paperSize="9" scale="50"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 Read Me</vt:lpstr>
      <vt:lpstr>2. Inputs</vt:lpstr>
      <vt:lpstr>3. Report</vt:lpstr>
      <vt:lpstr>Backend Design </vt:lpstr>
      <vt:lpstr>Backend Values</vt:lpstr>
      <vt:lpstr>Transmission examples</vt:lpstr>
      <vt:lpstr>Reference Prices</vt:lpstr>
      <vt:lpstr>'1. Read Me'!Print_Area</vt:lpstr>
      <vt:lpstr>'2. Inputs'!Print_Area</vt:lpstr>
      <vt:lpstr>'3. Report'!Print_Area</vt:lpstr>
      <vt:lpstr>'Backend Design '!Print_Area</vt:lpstr>
      <vt:lpstr>'Backend Values'!Print_Area</vt:lpstr>
      <vt:lpstr>'Reference Prices'!Print_Area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ajayt;BenB</dc:creator>
  <cp:keywords/>
  <dc:description/>
  <cp:lastModifiedBy>Nipun Regmi</cp:lastModifiedBy>
  <cp:revision/>
  <dcterms:created xsi:type="dcterms:W3CDTF">2015-06-05T18:17:20Z</dcterms:created>
  <dcterms:modified xsi:type="dcterms:W3CDTF">2024-04-12T05:02:23Z</dcterms:modified>
  <cp:category/>
  <cp:contentStatus/>
</cp:coreProperties>
</file>