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nipun\Sync\XLS tools\SRT (NR)\"/>
    </mc:Choice>
  </mc:AlternateContent>
  <xr:revisionPtr revIDLastSave="0" documentId="13_ncr:1_{9CFBC8B6-9156-4115-A058-BF8321E07498}" xr6:coauthVersionLast="47" xr6:coauthVersionMax="47" xr10:uidLastSave="{00000000-0000-0000-0000-000000000000}"/>
  <bookViews>
    <workbookView xWindow="28680" yWindow="-120" windowWidth="29040" windowHeight="15840" tabRatio="666" xr2:uid="{6A9873D1-E3EE-44FC-996A-1195182A71D7}"/>
  </bookViews>
  <sheets>
    <sheet name="1. Read Me" sheetId="8" r:id="rId1"/>
    <sheet name="2. Inputs" sheetId="1" r:id="rId2"/>
    <sheet name="3. Report" sheetId="11" r:id="rId3"/>
    <sheet name="Backend Design" sheetId="2" r:id="rId4"/>
    <sheet name="Backend Finance" sheetId="14" r:id="rId5"/>
    <sheet name="Backend Values" sheetId="7" r:id="rId6"/>
    <sheet name="Reference Prices" sheetId="6" r:id="rId7"/>
  </sheets>
  <definedNames>
    <definedName name="Baseline_Year">'Backend Finance'!$D$17</definedName>
    <definedName name="Buy_Down">'Backend Finance'!$D$251</definedName>
    <definedName name="CAPEX_Factor">'Backend Finance'!$D$146</definedName>
    <definedName name="Equity_IRR">'Backend Finance'!$D$514</definedName>
    <definedName name="Equity_Payback">'Backend Finance'!$D$515</definedName>
    <definedName name="Generation_Subsidy">'Backend Finance'!$D$241</definedName>
    <definedName name="Grant_as_CAPEX">'Backend Finance'!$D$35</definedName>
    <definedName name="Initial_ER">'Backend Finance'!$D$61</definedName>
    <definedName name="Interest_Rate">'Backend Finance'!$D$52</definedName>
    <definedName name="Net_Metering">'Backend Finance'!$D$229</definedName>
    <definedName name="OPEX_Factor">'Backend Finance'!$D$201</definedName>
    <definedName name="PPA_Rate">'Backend Finance'!$D$230</definedName>
    <definedName name="_xlnm.Print_Area" localSheetId="0">'1. Read Me'!$A$1:$G$25</definedName>
    <definedName name="_xlnm.Print_Area" localSheetId="1">'2. Inputs'!$A$1:$H$37</definedName>
    <definedName name="_xlnm.Print_Area" localSheetId="2">'3. Report'!$A$1:$AQ$34</definedName>
    <definedName name="_xlnm.Print_Area" localSheetId="3">'Backend Design'!$A$1:$H$62</definedName>
    <definedName name="_xlnm.Print_Area" localSheetId="4">'Backend Finance'!$A$1:$AH$516</definedName>
    <definedName name="_xlnm.Print_Area" localSheetId="5">'Backend Values'!$A$1:$K$50</definedName>
    <definedName name="_xlnm.Print_Area" localSheetId="6">'Reference Prices'!$A$38:$K$61</definedName>
    <definedName name="Residential_Connection_Fee">'Backend Finance'!$E$103</definedName>
    <definedName name="Rooftop">'Backend Design'!#REF!</definedName>
    <definedName name="Sales_Factor">'Backend Finance'!$D$219</definedName>
    <definedName name="Self_Consumption">'Backend Finance'!$D$216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7" i="6" l="1"/>
  <c r="I42" i="6"/>
  <c r="I41" i="6" l="1"/>
  <c r="I54" i="6"/>
  <c r="I53" i="6" l="1"/>
  <c r="I51" i="6"/>
  <c r="I49" i="6"/>
  <c r="I46" i="6"/>
  <c r="I45" i="6"/>
  <c r="I44" i="6"/>
  <c r="B31" i="6" l="1"/>
  <c r="D21" i="1" l="1"/>
  <c r="D25" i="1"/>
  <c r="W65" i="14" a="1"/>
  <c r="W65" i="14" s="1"/>
  <c r="H401" i="14"/>
  <c r="C38" i="2" l="1"/>
  <c r="E74" i="14"/>
  <c r="C6" i="2"/>
  <c r="C12" i="2" s="1"/>
  <c r="D18" i="11"/>
  <c r="C288" i="14"/>
  <c r="C289" i="14"/>
  <c r="D61" i="14"/>
  <c r="I196" i="14"/>
  <c r="D6" i="14" l="1"/>
  <c r="D5" i="14"/>
  <c r="D25" i="14"/>
  <c r="D18" i="14"/>
  <c r="D15" i="14"/>
  <c r="E138" i="14"/>
  <c r="E90" i="14"/>
  <c r="E42" i="6"/>
  <c r="I338" i="14" l="1"/>
  <c r="J338" i="14" s="1"/>
  <c r="K338" i="14" s="1"/>
  <c r="L338" i="14" s="1"/>
  <c r="M338" i="14" s="1"/>
  <c r="N338" i="14" s="1"/>
  <c r="O338" i="14" s="1"/>
  <c r="P338" i="14" s="1"/>
  <c r="Q338" i="14" s="1"/>
  <c r="R338" i="14" s="1"/>
  <c r="S338" i="14" s="1"/>
  <c r="T338" i="14" s="1"/>
  <c r="U338" i="14" s="1"/>
  <c r="V338" i="14" s="1"/>
  <c r="W338" i="14" s="1"/>
  <c r="X338" i="14" s="1"/>
  <c r="Y338" i="14" s="1"/>
  <c r="Z338" i="14" s="1"/>
  <c r="AA338" i="14" s="1"/>
  <c r="AB338" i="14" s="1"/>
  <c r="AC338" i="14" s="1"/>
  <c r="AD338" i="14" s="1"/>
  <c r="AE338" i="14" s="1"/>
  <c r="AF338" i="14" s="1"/>
  <c r="AG338" i="14" s="1"/>
  <c r="C7" i="2"/>
  <c r="C14" i="2" l="1"/>
  <c r="C17" i="2" s="1"/>
  <c r="AO28" i="11"/>
  <c r="I173" i="14"/>
  <c r="J173" i="14" s="1"/>
  <c r="K173" i="14" s="1"/>
  <c r="D16" i="14"/>
  <c r="C20" i="2" l="1"/>
  <c r="C37" i="2"/>
  <c r="C39" i="2" s="1"/>
  <c r="G41" i="6" s="1"/>
  <c r="D226" i="14"/>
  <c r="E89" i="14"/>
  <c r="C42" i="2" l="1"/>
  <c r="I56" i="6"/>
  <c r="K56" i="6" s="1"/>
  <c r="E135" i="14" s="1"/>
  <c r="J41" i="6"/>
  <c r="E78" i="14" s="1"/>
  <c r="AO29" i="11"/>
  <c r="E181" i="14"/>
  <c r="D31" i="1"/>
  <c r="C43" i="2" l="1"/>
  <c r="C45" i="2" s="1"/>
  <c r="C46" i="2" s="1"/>
  <c r="E82" i="14" s="1"/>
  <c r="D214" i="14" s="1"/>
  <c r="D217" i="14" s="1"/>
  <c r="E73" i="14"/>
  <c r="H241" i="14"/>
  <c r="C297" i="14"/>
  <c r="C296" i="14"/>
  <c r="C295" i="14"/>
  <c r="C294" i="14"/>
  <c r="C293" i="14"/>
  <c r="C292" i="14"/>
  <c r="C287" i="14"/>
  <c r="C286" i="14"/>
  <c r="C285" i="14"/>
  <c r="C283" i="14"/>
  <c r="C284" i="14"/>
  <c r="D507" i="14"/>
  <c r="AG495" i="14"/>
  <c r="AG454" i="14"/>
  <c r="AF454" i="14"/>
  <c r="AE454" i="14"/>
  <c r="AD454" i="14"/>
  <c r="AC454" i="14"/>
  <c r="H454" i="14"/>
  <c r="H452" i="14"/>
  <c r="H444" i="14"/>
  <c r="H443" i="14"/>
  <c r="H442" i="14"/>
  <c r="H441" i="14"/>
  <c r="H440" i="14"/>
  <c r="H439" i="14"/>
  <c r="H438" i="14"/>
  <c r="AG435" i="14"/>
  <c r="AG446" i="14" s="1"/>
  <c r="AF435" i="14"/>
  <c r="AF446" i="14" s="1"/>
  <c r="AE435" i="14"/>
  <c r="AE446" i="14" s="1"/>
  <c r="AD435" i="14"/>
  <c r="AD446" i="14" s="1"/>
  <c r="AC435" i="14"/>
  <c r="AC446" i="14" s="1"/>
  <c r="AB435" i="14"/>
  <c r="AA435" i="14"/>
  <c r="Z435" i="14"/>
  <c r="Y435" i="14"/>
  <c r="X435" i="14"/>
  <c r="W435" i="14"/>
  <c r="V435" i="14"/>
  <c r="U435" i="14"/>
  <c r="T435" i="14"/>
  <c r="S435" i="14"/>
  <c r="R435" i="14"/>
  <c r="Q435" i="14"/>
  <c r="P435" i="14"/>
  <c r="O435" i="14"/>
  <c r="N435" i="14"/>
  <c r="M435" i="14"/>
  <c r="L435" i="14"/>
  <c r="K435" i="14"/>
  <c r="J435" i="14"/>
  <c r="I435" i="14"/>
  <c r="H424" i="14"/>
  <c r="I407" i="14"/>
  <c r="H384" i="14"/>
  <c r="H382" i="14"/>
  <c r="H381" i="14"/>
  <c r="H379" i="14"/>
  <c r="H367" i="14"/>
  <c r="F339" i="14"/>
  <c r="C333" i="14"/>
  <c r="H332" i="14"/>
  <c r="C332" i="14"/>
  <c r="H331" i="14"/>
  <c r="C331" i="14"/>
  <c r="C330" i="14"/>
  <c r="C327" i="14"/>
  <c r="H326" i="14"/>
  <c r="C326" i="14"/>
  <c r="H325" i="14"/>
  <c r="C325" i="14"/>
  <c r="C324" i="14"/>
  <c r="H307" i="14"/>
  <c r="D307" i="14"/>
  <c r="C307" i="14"/>
  <c r="H306" i="14"/>
  <c r="D306" i="14"/>
  <c r="C306" i="14"/>
  <c r="H305" i="14"/>
  <c r="D305" i="14"/>
  <c r="C305" i="14"/>
  <c r="H302" i="14"/>
  <c r="C302" i="14"/>
  <c r="H301" i="14"/>
  <c r="D301" i="14"/>
  <c r="C301" i="14"/>
  <c r="H300" i="14"/>
  <c r="C300" i="14"/>
  <c r="H297" i="14"/>
  <c r="D297" i="14"/>
  <c r="H296" i="14"/>
  <c r="H295" i="14"/>
  <c r="D295" i="14"/>
  <c r="H294" i="14"/>
  <c r="D294" i="14"/>
  <c r="H293" i="14"/>
  <c r="H292" i="14"/>
  <c r="D292" i="14"/>
  <c r="H289" i="14"/>
  <c r="H288" i="14"/>
  <c r="H287" i="14"/>
  <c r="D287" i="14"/>
  <c r="E287" i="14" s="1"/>
  <c r="H286" i="14"/>
  <c r="D286" i="14"/>
  <c r="E286" i="14" s="1"/>
  <c r="H285" i="14"/>
  <c r="H284" i="14"/>
  <c r="G279" i="14"/>
  <c r="AG269" i="14"/>
  <c r="AF269" i="14"/>
  <c r="AE269" i="14"/>
  <c r="AD269" i="14"/>
  <c r="AC269" i="14"/>
  <c r="AG263" i="14"/>
  <c r="AF263" i="14"/>
  <c r="AE263" i="14"/>
  <c r="AD263" i="14"/>
  <c r="AC263" i="14"/>
  <c r="AG261" i="14"/>
  <c r="AF261" i="14"/>
  <c r="AE261" i="14"/>
  <c r="AD261" i="14"/>
  <c r="AC261" i="14"/>
  <c r="H259" i="14"/>
  <c r="H251" i="14"/>
  <c r="D247" i="14"/>
  <c r="D228" i="14"/>
  <c r="D215" i="14"/>
  <c r="AG199" i="14"/>
  <c r="AG349" i="14" s="1"/>
  <c r="AG350" i="14" s="1"/>
  <c r="AF199" i="14"/>
  <c r="AF349" i="14" s="1"/>
  <c r="AF350" i="14" s="1"/>
  <c r="AE199" i="14"/>
  <c r="AE349" i="14" s="1"/>
  <c r="AE350" i="14" s="1"/>
  <c r="AD199" i="14"/>
  <c r="AD349" i="14" s="1"/>
  <c r="AD350" i="14" s="1"/>
  <c r="AC199" i="14"/>
  <c r="AC349" i="14" s="1"/>
  <c r="AC350" i="14" s="1"/>
  <c r="AB199" i="14"/>
  <c r="AB349" i="14" s="1"/>
  <c r="AB350" i="14" s="1"/>
  <c r="AA199" i="14"/>
  <c r="AA349" i="14" s="1"/>
  <c r="AA350" i="14" s="1"/>
  <c r="Z199" i="14"/>
  <c r="Z349" i="14" s="1"/>
  <c r="Z350" i="14" s="1"/>
  <c r="Y199" i="14"/>
  <c r="Y349" i="14" s="1"/>
  <c r="Y350" i="14" s="1"/>
  <c r="X199" i="14"/>
  <c r="X349" i="14" s="1"/>
  <c r="X350" i="14" s="1"/>
  <c r="J196" i="14"/>
  <c r="I190" i="14"/>
  <c r="I174" i="14"/>
  <c r="E174" i="14"/>
  <c r="I165" i="14"/>
  <c r="I167" i="14" s="1"/>
  <c r="E165" i="14"/>
  <c r="AG144" i="14"/>
  <c r="AG264" i="14" s="1"/>
  <c r="AF144" i="14"/>
  <c r="AF264" i="14" s="1"/>
  <c r="AE144" i="14"/>
  <c r="AE264" i="14" s="1"/>
  <c r="AD144" i="14"/>
  <c r="AD264" i="14" s="1"/>
  <c r="AC144" i="14"/>
  <c r="AC264" i="14" s="1"/>
  <c r="AB144" i="14"/>
  <c r="AB264" i="14" s="1"/>
  <c r="AA144" i="14"/>
  <c r="Z144" i="14"/>
  <c r="Z264" i="14" s="1"/>
  <c r="Y144" i="14"/>
  <c r="Y264" i="14" s="1"/>
  <c r="X144" i="14"/>
  <c r="W144" i="14"/>
  <c r="W264" i="14" s="1"/>
  <c r="V144" i="14"/>
  <c r="V264" i="14" s="1"/>
  <c r="U144" i="14"/>
  <c r="U264" i="14" s="1"/>
  <c r="T144" i="14"/>
  <c r="S144" i="14"/>
  <c r="S264" i="14" s="1"/>
  <c r="R144" i="14"/>
  <c r="R264" i="14" s="1"/>
  <c r="Q144" i="14"/>
  <c r="P144" i="14"/>
  <c r="P264" i="14" s="1"/>
  <c r="O144" i="14"/>
  <c r="O264" i="14" s="1"/>
  <c r="N144" i="14"/>
  <c r="N264" i="14" s="1"/>
  <c r="M144" i="14"/>
  <c r="L144" i="14"/>
  <c r="K144" i="14"/>
  <c r="K264" i="14" s="1"/>
  <c r="J144" i="14"/>
  <c r="J264" i="14" s="1"/>
  <c r="I144" i="14"/>
  <c r="I264" i="14" s="1"/>
  <c r="H142" i="14"/>
  <c r="H141" i="14"/>
  <c r="H140" i="14"/>
  <c r="H139" i="14"/>
  <c r="H138" i="14"/>
  <c r="H137" i="14"/>
  <c r="H136" i="14"/>
  <c r="AG132" i="14"/>
  <c r="AF132" i="14"/>
  <c r="AE132" i="14"/>
  <c r="AD132" i="14"/>
  <c r="AC132" i="14"/>
  <c r="AB132" i="14"/>
  <c r="AB263" i="14" s="1"/>
  <c r="AA132" i="14"/>
  <c r="AA263" i="14" s="1"/>
  <c r="Z132" i="14"/>
  <c r="Z263" i="14" s="1"/>
  <c r="Y132" i="14"/>
  <c r="Y263" i="14" s="1"/>
  <c r="X132" i="14"/>
  <c r="X263" i="14" s="1"/>
  <c r="W132" i="14"/>
  <c r="W263" i="14" s="1"/>
  <c r="V132" i="14"/>
  <c r="V263" i="14" s="1"/>
  <c r="U132" i="14"/>
  <c r="U263" i="14" s="1"/>
  <c r="T132" i="14"/>
  <c r="T263" i="14" s="1"/>
  <c r="S132" i="14"/>
  <c r="S263" i="14" s="1"/>
  <c r="R132" i="14"/>
  <c r="R263" i="14" s="1"/>
  <c r="Q132" i="14"/>
  <c r="Q263" i="14" s="1"/>
  <c r="P132" i="14"/>
  <c r="P263" i="14" s="1"/>
  <c r="O132" i="14"/>
  <c r="O263" i="14" s="1"/>
  <c r="N132" i="14"/>
  <c r="N263" i="14" s="1"/>
  <c r="M132" i="14"/>
  <c r="M263" i="14" s="1"/>
  <c r="L132" i="14"/>
  <c r="L263" i="14" s="1"/>
  <c r="K132" i="14"/>
  <c r="K263" i="14" s="1"/>
  <c r="J132" i="14"/>
  <c r="J263" i="14" s="1"/>
  <c r="I132" i="14"/>
  <c r="I263" i="14" s="1"/>
  <c r="H131" i="14"/>
  <c r="H130" i="14"/>
  <c r="H129" i="14"/>
  <c r="AG126" i="14"/>
  <c r="AG262" i="14" s="1"/>
  <c r="AF126" i="14"/>
  <c r="AF262" i="14" s="1"/>
  <c r="AE126" i="14"/>
  <c r="AE262" i="14" s="1"/>
  <c r="AD126" i="14"/>
  <c r="AD262" i="14" s="1"/>
  <c r="AC126" i="14"/>
  <c r="AC262" i="14" s="1"/>
  <c r="AB126" i="14"/>
  <c r="AB262" i="14" s="1"/>
  <c r="AA126" i="14"/>
  <c r="AA262" i="14" s="1"/>
  <c r="Z126" i="14"/>
  <c r="Z262" i="14" s="1"/>
  <c r="Y126" i="14"/>
  <c r="Y262" i="14" s="1"/>
  <c r="X126" i="14"/>
  <c r="X262" i="14" s="1"/>
  <c r="W126" i="14"/>
  <c r="W262" i="14" s="1"/>
  <c r="V126" i="14"/>
  <c r="V262" i="14" s="1"/>
  <c r="U126" i="14"/>
  <c r="U262" i="14" s="1"/>
  <c r="T126" i="14"/>
  <c r="T262" i="14" s="1"/>
  <c r="S126" i="14"/>
  <c r="S262" i="14" s="1"/>
  <c r="R126" i="14"/>
  <c r="R262" i="14" s="1"/>
  <c r="Q126" i="14"/>
  <c r="Q262" i="14" s="1"/>
  <c r="P126" i="14"/>
  <c r="P262" i="14" s="1"/>
  <c r="O126" i="14"/>
  <c r="O262" i="14" s="1"/>
  <c r="N126" i="14"/>
  <c r="N262" i="14" s="1"/>
  <c r="M126" i="14"/>
  <c r="M262" i="14" s="1"/>
  <c r="L126" i="14"/>
  <c r="L262" i="14" s="1"/>
  <c r="K126" i="14"/>
  <c r="K262" i="14" s="1"/>
  <c r="J126" i="14"/>
  <c r="J262" i="14" s="1"/>
  <c r="I126" i="14"/>
  <c r="I262" i="14" s="1"/>
  <c r="H124" i="14"/>
  <c r="AG120" i="14"/>
  <c r="AF120" i="14"/>
  <c r="AE120" i="14"/>
  <c r="AD120" i="14"/>
  <c r="AC120" i="14"/>
  <c r="AB120" i="14"/>
  <c r="AB261" i="14" s="1"/>
  <c r="AA120" i="14"/>
  <c r="AA261" i="14" s="1"/>
  <c r="Z120" i="14"/>
  <c r="Z261" i="14" s="1"/>
  <c r="Y120" i="14"/>
  <c r="Y261" i="14" s="1"/>
  <c r="X120" i="14"/>
  <c r="X261" i="14" s="1"/>
  <c r="W120" i="14"/>
  <c r="W261" i="14" s="1"/>
  <c r="V120" i="14"/>
  <c r="V261" i="14" s="1"/>
  <c r="U120" i="14"/>
  <c r="U261" i="14" s="1"/>
  <c r="T120" i="14"/>
  <c r="T261" i="14" s="1"/>
  <c r="S120" i="14"/>
  <c r="S261" i="14" s="1"/>
  <c r="R120" i="14"/>
  <c r="R261" i="14" s="1"/>
  <c r="Q120" i="14"/>
  <c r="Q261" i="14" s="1"/>
  <c r="P120" i="14"/>
  <c r="P261" i="14" s="1"/>
  <c r="O120" i="14"/>
  <c r="O261" i="14" s="1"/>
  <c r="N120" i="14"/>
  <c r="N261" i="14" s="1"/>
  <c r="M120" i="14"/>
  <c r="M261" i="14" s="1"/>
  <c r="L120" i="14"/>
  <c r="L261" i="14" s="1"/>
  <c r="K120" i="14"/>
  <c r="K261" i="14" s="1"/>
  <c r="J120" i="14"/>
  <c r="J261" i="14" s="1"/>
  <c r="I120" i="14"/>
  <c r="I261" i="14" s="1"/>
  <c r="H119" i="14"/>
  <c r="E118" i="14"/>
  <c r="D296" i="14" s="1"/>
  <c r="H117" i="14"/>
  <c r="H116" i="14"/>
  <c r="H112" i="14"/>
  <c r="H101" i="14"/>
  <c r="H96" i="14"/>
  <c r="D285" i="14"/>
  <c r="E285" i="14" s="1"/>
  <c r="AG70" i="14"/>
  <c r="AF70" i="14"/>
  <c r="AE70" i="14"/>
  <c r="AD70" i="14"/>
  <c r="AC70" i="14"/>
  <c r="AB70" i="14"/>
  <c r="AA70" i="14"/>
  <c r="Z70" i="14"/>
  <c r="Y70" i="14"/>
  <c r="X70" i="14"/>
  <c r="W70" i="14"/>
  <c r="V70" i="14"/>
  <c r="U70" i="14"/>
  <c r="T70" i="14"/>
  <c r="S70" i="14"/>
  <c r="R70" i="14"/>
  <c r="Q70" i="14"/>
  <c r="P70" i="14"/>
  <c r="O70" i="14"/>
  <c r="N70" i="14"/>
  <c r="M70" i="14"/>
  <c r="L70" i="14"/>
  <c r="K70" i="14"/>
  <c r="J70" i="14"/>
  <c r="I70" i="14"/>
  <c r="H69" i="14"/>
  <c r="H68" i="14"/>
  <c r="E182" i="14"/>
  <c r="AG65" i="14" a="1"/>
  <c r="AG65" i="14" s="1"/>
  <c r="AF65" i="14" a="1"/>
  <c r="AF65" i="14" s="1"/>
  <c r="AE65" i="14" a="1"/>
  <c r="AE65" i="14" s="1"/>
  <c r="AD65" i="14" a="1"/>
  <c r="AD65" i="14" s="1"/>
  <c r="AC65" i="14" a="1"/>
  <c r="AC65" i="14" s="1"/>
  <c r="AB65" i="14" a="1"/>
  <c r="AB65" i="14" s="1"/>
  <c r="AA65" i="14" a="1"/>
  <c r="AA65" i="14" s="1"/>
  <c r="Z65" i="14" a="1"/>
  <c r="Z65" i="14" s="1"/>
  <c r="Y65" i="14" a="1"/>
  <c r="Y65" i="14" s="1"/>
  <c r="X65" i="14" a="1"/>
  <c r="X65" i="14" s="1"/>
  <c r="V65" i="14" a="1"/>
  <c r="V65" i="14" s="1"/>
  <c r="U65" i="14" a="1"/>
  <c r="U65" i="14" s="1"/>
  <c r="T65" i="14" a="1"/>
  <c r="T65" i="14" s="1"/>
  <c r="S65" i="14" a="1"/>
  <c r="S65" i="14" s="1"/>
  <c r="R65" i="14" a="1"/>
  <c r="R65" i="14" s="1"/>
  <c r="Q65" i="14" a="1"/>
  <c r="Q65" i="14" s="1"/>
  <c r="P65" i="14" a="1"/>
  <c r="P65" i="14" s="1"/>
  <c r="O65" i="14" a="1"/>
  <c r="O65" i="14" s="1"/>
  <c r="N65" i="14" a="1"/>
  <c r="N65" i="14" s="1"/>
  <c r="M65" i="14" a="1"/>
  <c r="M65" i="14" s="1"/>
  <c r="L65" i="14" a="1"/>
  <c r="L65" i="14" s="1"/>
  <c r="K65" i="14" a="1"/>
  <c r="K65" i="14" s="1"/>
  <c r="H61" i="14"/>
  <c r="I61" i="14" s="1"/>
  <c r="J61" i="14" s="1"/>
  <c r="K61" i="14" s="1"/>
  <c r="L61" i="14" s="1"/>
  <c r="M61" i="14" s="1"/>
  <c r="N61" i="14" s="1"/>
  <c r="O61" i="14" s="1"/>
  <c r="P61" i="14" s="1"/>
  <c r="Q61" i="14" s="1"/>
  <c r="R61" i="14" s="1"/>
  <c r="S61" i="14" s="1"/>
  <c r="T61" i="14" s="1"/>
  <c r="U61" i="14" s="1"/>
  <c r="V61" i="14" s="1"/>
  <c r="W61" i="14" s="1"/>
  <c r="X61" i="14" s="1"/>
  <c r="Y61" i="14" s="1"/>
  <c r="Z61" i="14" s="1"/>
  <c r="AA61" i="14" s="1"/>
  <c r="AB61" i="14" s="1"/>
  <c r="AC61" i="14" s="1"/>
  <c r="AD61" i="14" s="1"/>
  <c r="AE61" i="14" s="1"/>
  <c r="AF61" i="14" s="1"/>
  <c r="AG61" i="14" s="1"/>
  <c r="D39" i="14"/>
  <c r="H2" i="14"/>
  <c r="I2" i="14" s="1"/>
  <c r="I1" i="14"/>
  <c r="I87" i="14" l="1"/>
  <c r="I314" i="14" s="1"/>
  <c r="I439" i="14" s="1"/>
  <c r="I186" i="14"/>
  <c r="E81" i="14"/>
  <c r="E102" i="14"/>
  <c r="K196" i="14"/>
  <c r="L196" i="14" s="1"/>
  <c r="M196" i="14" s="1"/>
  <c r="N196" i="14" s="1"/>
  <c r="O196" i="14" s="1"/>
  <c r="P196" i="14" s="1"/>
  <c r="Q196" i="14" s="1"/>
  <c r="R196" i="14" s="1"/>
  <c r="S196" i="14" s="1"/>
  <c r="T196" i="14" s="1"/>
  <c r="U196" i="14" s="1"/>
  <c r="V196" i="14" s="1"/>
  <c r="W196" i="14" s="1"/>
  <c r="H132" i="14"/>
  <c r="H263" i="14" s="1"/>
  <c r="H70" i="14"/>
  <c r="I188" i="14"/>
  <c r="C441" i="14"/>
  <c r="C316" i="14"/>
  <c r="C439" i="14"/>
  <c r="C314" i="14"/>
  <c r="J1" i="14"/>
  <c r="H329" i="14"/>
  <c r="H339" i="14"/>
  <c r="H323" i="14"/>
  <c r="H311" i="14"/>
  <c r="H279" i="14"/>
  <c r="I311" i="14"/>
  <c r="I339" i="14"/>
  <c r="I323" i="14"/>
  <c r="I329" i="14"/>
  <c r="I96" i="14"/>
  <c r="I317" i="14" s="1"/>
  <c r="I442" i="14" s="1"/>
  <c r="I199" i="14"/>
  <c r="I349" i="14" s="1"/>
  <c r="I350" i="14" s="1"/>
  <c r="J2" i="14"/>
  <c r="I107" i="14"/>
  <c r="H118" i="14"/>
  <c r="L264" i="14"/>
  <c r="X264" i="14"/>
  <c r="I175" i="14"/>
  <c r="M264" i="14"/>
  <c r="C438" i="14"/>
  <c r="C313" i="14"/>
  <c r="C442" i="14"/>
  <c r="C317" i="14"/>
  <c r="Q264" i="14"/>
  <c r="I382" i="14"/>
  <c r="I412" i="14"/>
  <c r="I379" i="14"/>
  <c r="I241" i="14"/>
  <c r="I237" i="14"/>
  <c r="I162" i="14"/>
  <c r="J190" i="14"/>
  <c r="T264" i="14"/>
  <c r="I279" i="14"/>
  <c r="C440" i="14"/>
  <c r="C315" i="14"/>
  <c r="I101" i="14"/>
  <c r="I318" i="14" s="1"/>
  <c r="I443" i="14" s="1"/>
  <c r="I134" i="14"/>
  <c r="AA264" i="14"/>
  <c r="I166" i="14"/>
  <c r="I168" i="14" s="1"/>
  <c r="I363" i="14"/>
  <c r="I80" i="14"/>
  <c r="C443" i="14"/>
  <c r="C318" i="14"/>
  <c r="I236" i="14"/>
  <c r="H247" i="14"/>
  <c r="I171" i="14"/>
  <c r="H92" i="14"/>
  <c r="I92" i="14"/>
  <c r="I316" i="14" s="1"/>
  <c r="I441" i="14" s="1"/>
  <c r="I105" i="14"/>
  <c r="I315" i="14" s="1"/>
  <c r="I440" i="14" s="1"/>
  <c r="J199" i="14" l="1"/>
  <c r="J349" i="14" s="1"/>
  <c r="J350" i="14" s="1"/>
  <c r="I224" i="14"/>
  <c r="I344" i="14" s="1"/>
  <c r="D218" i="14"/>
  <c r="I228" i="14" s="1"/>
  <c r="I345" i="14" s="1"/>
  <c r="I215" i="14"/>
  <c r="I220" i="14" s="1"/>
  <c r="I191" i="14" s="1"/>
  <c r="I193" i="14" s="1"/>
  <c r="I178" i="14"/>
  <c r="I362" i="14" s="1"/>
  <c r="J339" i="14"/>
  <c r="J323" i="14"/>
  <c r="J311" i="14"/>
  <c r="J329" i="14"/>
  <c r="J279" i="14"/>
  <c r="K2" i="14"/>
  <c r="I380" i="14"/>
  <c r="I381" i="14" s="1"/>
  <c r="I391" i="14" s="1"/>
  <c r="I383" i="14"/>
  <c r="I384" i="14" s="1"/>
  <c r="I305" i="14"/>
  <c r="I295" i="14"/>
  <c r="I292" i="14"/>
  <c r="I307" i="14"/>
  <c r="I296" i="14"/>
  <c r="I286" i="14"/>
  <c r="I294" i="14"/>
  <c r="I297" i="14"/>
  <c r="I306" i="14"/>
  <c r="I301" i="14"/>
  <c r="I287" i="14"/>
  <c r="I285" i="14"/>
  <c r="J382" i="14"/>
  <c r="J412" i="14"/>
  <c r="J379" i="14"/>
  <c r="J236" i="14"/>
  <c r="J241" i="14"/>
  <c r="J174" i="14"/>
  <c r="J175" i="14" s="1"/>
  <c r="J237" i="14"/>
  <c r="J162" i="14"/>
  <c r="K190" i="14"/>
  <c r="J171" i="14"/>
  <c r="J80" i="14"/>
  <c r="J186" i="14"/>
  <c r="J363" i="14" s="1"/>
  <c r="J166" i="14"/>
  <c r="J168" i="14" s="1"/>
  <c r="J134" i="14"/>
  <c r="J101" i="14"/>
  <c r="J318" i="14" s="1"/>
  <c r="J443" i="14" s="1"/>
  <c r="J87" i="14"/>
  <c r="J314" i="14" s="1"/>
  <c r="J439" i="14" s="1"/>
  <c r="J215" i="14"/>
  <c r="J220" i="14" s="1"/>
  <c r="J191" i="14" s="1"/>
  <c r="J193" i="14" s="1"/>
  <c r="J364" i="14" s="1"/>
  <c r="J107" i="14"/>
  <c r="J96" i="14"/>
  <c r="J317" i="14" s="1"/>
  <c r="J442" i="14" s="1"/>
  <c r="J188" i="14"/>
  <c r="J165" i="14"/>
  <c r="J167" i="14" s="1"/>
  <c r="K1" i="14"/>
  <c r="J105" i="14"/>
  <c r="J315" i="14" s="1"/>
  <c r="J440" i="14" s="1"/>
  <c r="J92" i="14"/>
  <c r="J316" i="14" s="1"/>
  <c r="J441" i="14" s="1"/>
  <c r="I313" i="14"/>
  <c r="I108" i="14"/>
  <c r="I364" i="14" l="1"/>
  <c r="I365" i="14" s="1"/>
  <c r="I203" i="14"/>
  <c r="I259" i="14" s="1"/>
  <c r="J228" i="14"/>
  <c r="J345" i="14" s="1"/>
  <c r="J224" i="14"/>
  <c r="J344" i="14" s="1"/>
  <c r="I268" i="14"/>
  <c r="I232" i="14"/>
  <c r="K199" i="14"/>
  <c r="K349" i="14" s="1"/>
  <c r="K350" i="14" s="1"/>
  <c r="J178" i="14"/>
  <c r="J362" i="14" s="1"/>
  <c r="J365" i="14" s="1"/>
  <c r="K339" i="14"/>
  <c r="K323" i="14"/>
  <c r="K329" i="14"/>
  <c r="K311" i="14"/>
  <c r="K279" i="14"/>
  <c r="L2" i="14"/>
  <c r="J383" i="14"/>
  <c r="J384" i="14" s="1"/>
  <c r="I373" i="14"/>
  <c r="J287" i="14"/>
  <c r="J306" i="14"/>
  <c r="J295" i="14"/>
  <c r="J307" i="14"/>
  <c r="J294" i="14"/>
  <c r="J286" i="14"/>
  <c r="J297" i="14"/>
  <c r="J305" i="14"/>
  <c r="J285" i="14"/>
  <c r="J301" i="14"/>
  <c r="J292" i="14"/>
  <c r="J296" i="14"/>
  <c r="I346" i="14"/>
  <c r="I352" i="14" s="1"/>
  <c r="I260" i="14"/>
  <c r="I148" i="14"/>
  <c r="L173" i="14"/>
  <c r="I438" i="14"/>
  <c r="I319" i="14"/>
  <c r="K482" i="14"/>
  <c r="K465" i="14"/>
  <c r="K412" i="14"/>
  <c r="K382" i="14"/>
  <c r="K379" i="14"/>
  <c r="K234" i="14"/>
  <c r="K241" i="14"/>
  <c r="K215" i="14"/>
  <c r="K220" i="14" s="1"/>
  <c r="K191" i="14" s="1"/>
  <c r="K193" i="14" s="1"/>
  <c r="K364" i="14" s="1"/>
  <c r="K237" i="14"/>
  <c r="K162" i="14"/>
  <c r="K160" i="14"/>
  <c r="K128" i="14"/>
  <c r="K236" i="14"/>
  <c r="K80" i="14"/>
  <c r="K186" i="14"/>
  <c r="K363" i="14" s="1"/>
  <c r="K166" i="14"/>
  <c r="K168" i="14" s="1"/>
  <c r="K151" i="14"/>
  <c r="K134" i="14"/>
  <c r="K122" i="14"/>
  <c r="K101" i="14"/>
  <c r="K318" i="14" s="1"/>
  <c r="K443" i="14" s="1"/>
  <c r="L190" i="14"/>
  <c r="K110" i="14"/>
  <c r="K87" i="14"/>
  <c r="K314" i="14" s="1"/>
  <c r="K439" i="14" s="1"/>
  <c r="K107" i="14"/>
  <c r="K92" i="14"/>
  <c r="K316" i="14" s="1"/>
  <c r="K441" i="14" s="1"/>
  <c r="K96" i="14"/>
  <c r="K317" i="14" s="1"/>
  <c r="K442" i="14" s="1"/>
  <c r="K171" i="14"/>
  <c r="K174" i="14"/>
  <c r="K175" i="14" s="1"/>
  <c r="K165" i="14"/>
  <c r="K167" i="14" s="1"/>
  <c r="L1" i="14"/>
  <c r="K105" i="14"/>
  <c r="K315" i="14" s="1"/>
  <c r="K440" i="14" s="1"/>
  <c r="K211" i="14"/>
  <c r="K188" i="14"/>
  <c r="J313" i="14"/>
  <c r="J108" i="14"/>
  <c r="J380" i="14"/>
  <c r="J381" i="14" s="1"/>
  <c r="J391" i="14" s="1"/>
  <c r="I452" i="14"/>
  <c r="I331" i="14"/>
  <c r="I205" i="14" l="1"/>
  <c r="K224" i="14"/>
  <c r="K344" i="14" s="1"/>
  <c r="J232" i="14"/>
  <c r="J268" i="14"/>
  <c r="K228" i="14"/>
  <c r="J203" i="14"/>
  <c r="J259" i="14" s="1"/>
  <c r="L199" i="14"/>
  <c r="L349" i="14" s="1"/>
  <c r="L350" i="14" s="1"/>
  <c r="J346" i="14"/>
  <c r="J352" i="14" s="1"/>
  <c r="J355" i="14" s="1"/>
  <c r="J356" i="14" s="1"/>
  <c r="J359" i="14" s="1"/>
  <c r="J367" i="14" s="1"/>
  <c r="J373" i="14"/>
  <c r="I265" i="14"/>
  <c r="K178" i="14"/>
  <c r="K362" i="14" s="1"/>
  <c r="K365" i="14" s="1"/>
  <c r="L339" i="14"/>
  <c r="L329" i="14"/>
  <c r="L311" i="14"/>
  <c r="L323" i="14"/>
  <c r="L279" i="14"/>
  <c r="M2" i="14"/>
  <c r="J452" i="14"/>
  <c r="J331" i="14"/>
  <c r="K380" i="14"/>
  <c r="K381" i="14" s="1"/>
  <c r="K391" i="14" s="1"/>
  <c r="K307" i="14"/>
  <c r="K294" i="14"/>
  <c r="K286" i="14"/>
  <c r="K292" i="14"/>
  <c r="K287" i="14"/>
  <c r="K295" i="14"/>
  <c r="K305" i="14"/>
  <c r="K306" i="14"/>
  <c r="K285" i="14"/>
  <c r="K301" i="14"/>
  <c r="K297" i="14"/>
  <c r="K296" i="14"/>
  <c r="J260" i="14"/>
  <c r="J148" i="14"/>
  <c r="M173" i="14"/>
  <c r="J438" i="14"/>
  <c r="J319" i="14"/>
  <c r="J444" i="14" s="1"/>
  <c r="J446" i="14" s="1"/>
  <c r="L482" i="14"/>
  <c r="L465" i="14"/>
  <c r="L382" i="14"/>
  <c r="L412" i="14"/>
  <c r="L379" i="14"/>
  <c r="L241" i="14"/>
  <c r="L237" i="14"/>
  <c r="L160" i="14"/>
  <c r="L211" i="14"/>
  <c r="M190" i="14"/>
  <c r="L236" i="14"/>
  <c r="L188" i="14"/>
  <c r="L171" i="14"/>
  <c r="L80" i="14"/>
  <c r="L101" i="14"/>
  <c r="L318" i="14" s="1"/>
  <c r="L443" i="14" s="1"/>
  <c r="L186" i="14"/>
  <c r="L363" i="14" s="1"/>
  <c r="L166" i="14"/>
  <c r="L168" i="14" s="1"/>
  <c r="L151" i="14"/>
  <c r="L134" i="14"/>
  <c r="L128" i="14"/>
  <c r="L122" i="14"/>
  <c r="L162" i="14"/>
  <c r="L110" i="14"/>
  <c r="L87" i="14"/>
  <c r="L314" i="14" s="1"/>
  <c r="L439" i="14" s="1"/>
  <c r="L107" i="14"/>
  <c r="L215" i="14"/>
  <c r="L220" i="14" s="1"/>
  <c r="L96" i="14"/>
  <c r="L317" i="14" s="1"/>
  <c r="L442" i="14" s="1"/>
  <c r="M1" i="14"/>
  <c r="L234" i="14"/>
  <c r="L174" i="14"/>
  <c r="L175" i="14" s="1"/>
  <c r="L165" i="14"/>
  <c r="L167" i="14" s="1"/>
  <c r="L105" i="14"/>
  <c r="L315" i="14" s="1"/>
  <c r="L440" i="14" s="1"/>
  <c r="L92" i="14"/>
  <c r="L316" i="14" s="1"/>
  <c r="L441" i="14" s="1"/>
  <c r="K383" i="14"/>
  <c r="K384" i="14" s="1"/>
  <c r="I355" i="14"/>
  <c r="I356" i="14" s="1"/>
  <c r="I359" i="14" s="1"/>
  <c r="I367" i="14" s="1"/>
  <c r="I444" i="14"/>
  <c r="I446" i="14" s="1"/>
  <c r="K313" i="14"/>
  <c r="K108" i="14"/>
  <c r="M199" i="14" l="1"/>
  <c r="M349" i="14" s="1"/>
  <c r="M350" i="14" s="1"/>
  <c r="L224" i="14"/>
  <c r="M224" i="14" s="1"/>
  <c r="K268" i="14"/>
  <c r="L228" i="14"/>
  <c r="M228" i="14" s="1"/>
  <c r="K232" i="14"/>
  <c r="K345" i="14"/>
  <c r="K346" i="14" s="1"/>
  <c r="K352" i="14" s="1"/>
  <c r="K355" i="14" s="1"/>
  <c r="K356" i="14" s="1"/>
  <c r="K359" i="14" s="1"/>
  <c r="K367" i="14" s="1"/>
  <c r="J205" i="14"/>
  <c r="J265" i="14"/>
  <c r="K203" i="14"/>
  <c r="K259" i="14" s="1"/>
  <c r="K373" i="14"/>
  <c r="L178" i="14"/>
  <c r="L362" i="14" s="1"/>
  <c r="N173" i="14"/>
  <c r="M339" i="14"/>
  <c r="M323" i="14"/>
  <c r="M329" i="14"/>
  <c r="M311" i="14"/>
  <c r="M279" i="14"/>
  <c r="N2" i="14"/>
  <c r="L306" i="14"/>
  <c r="L307" i="14"/>
  <c r="L305" i="14"/>
  <c r="L301" i="14"/>
  <c r="L292" i="14"/>
  <c r="L294" i="14"/>
  <c r="L297" i="14"/>
  <c r="L285" i="14"/>
  <c r="L296" i="14"/>
  <c r="L286" i="14"/>
  <c r="L287" i="14"/>
  <c r="L295" i="14"/>
  <c r="K438" i="14"/>
  <c r="K319" i="14"/>
  <c r="K444" i="14" s="1"/>
  <c r="K446" i="14" s="1"/>
  <c r="M482" i="14"/>
  <c r="M465" i="14"/>
  <c r="M382" i="14"/>
  <c r="M412" i="14"/>
  <c r="M379" i="14"/>
  <c r="M128" i="14"/>
  <c r="M211" i="14"/>
  <c r="N190" i="14"/>
  <c r="M241" i="14"/>
  <c r="M236" i="14"/>
  <c r="M186" i="14"/>
  <c r="M363" i="14" s="1"/>
  <c r="M151" i="14"/>
  <c r="M166" i="14"/>
  <c r="M168" i="14" s="1"/>
  <c r="M134" i="14"/>
  <c r="M122" i="14"/>
  <c r="M101" i="14"/>
  <c r="M318" i="14" s="1"/>
  <c r="M443" i="14" s="1"/>
  <c r="M87" i="14"/>
  <c r="M314" i="14" s="1"/>
  <c r="M439" i="14" s="1"/>
  <c r="M162" i="14"/>
  <c r="M110" i="14"/>
  <c r="M107" i="14"/>
  <c r="M215" i="14"/>
  <c r="M220" i="14" s="1"/>
  <c r="M191" i="14" s="1"/>
  <c r="M193" i="14" s="1"/>
  <c r="M364" i="14" s="1"/>
  <c r="M96" i="14"/>
  <c r="M317" i="14" s="1"/>
  <c r="M442" i="14" s="1"/>
  <c r="M174" i="14"/>
  <c r="M175" i="14" s="1"/>
  <c r="M165" i="14"/>
  <c r="M167" i="14" s="1"/>
  <c r="N1" i="14"/>
  <c r="N199" i="14"/>
  <c r="N349" i="14" s="1"/>
  <c r="N350" i="14" s="1"/>
  <c r="M160" i="14"/>
  <c r="M188" i="14"/>
  <c r="M105" i="14"/>
  <c r="M315" i="14" s="1"/>
  <c r="M440" i="14" s="1"/>
  <c r="M92" i="14"/>
  <c r="M316" i="14" s="1"/>
  <c r="M441" i="14" s="1"/>
  <c r="M234" i="14"/>
  <c r="M171" i="14"/>
  <c r="M80" i="14"/>
  <c r="L383" i="14"/>
  <c r="L384" i="14" s="1"/>
  <c r="L380" i="14"/>
  <c r="L381" i="14" s="1"/>
  <c r="L391" i="14" s="1"/>
  <c r="K260" i="14"/>
  <c r="K148" i="14"/>
  <c r="L191" i="14"/>
  <c r="L193" i="14" s="1"/>
  <c r="L364" i="14" s="1"/>
  <c r="L313" i="14"/>
  <c r="L108" i="14"/>
  <c r="K452" i="14"/>
  <c r="K331" i="14"/>
  <c r="L232" i="14" l="1"/>
  <c r="L268" i="14"/>
  <c r="L344" i="14"/>
  <c r="L345" i="14"/>
  <c r="L373" i="14"/>
  <c r="K205" i="14"/>
  <c r="K265" i="14"/>
  <c r="L365" i="14"/>
  <c r="M178" i="14"/>
  <c r="M362" i="14" s="1"/>
  <c r="M365" i="14" s="1"/>
  <c r="N339" i="14"/>
  <c r="N323" i="14"/>
  <c r="N329" i="14"/>
  <c r="N311" i="14"/>
  <c r="N279" i="14"/>
  <c r="O2" i="14"/>
  <c r="M344" i="14"/>
  <c r="M232" i="14"/>
  <c r="L260" i="14"/>
  <c r="L148" i="14"/>
  <c r="M383" i="14"/>
  <c r="M384" i="14" s="1"/>
  <c r="M380" i="14"/>
  <c r="M381" i="14" s="1"/>
  <c r="M391" i="14" s="1"/>
  <c r="L438" i="14"/>
  <c r="L319" i="14"/>
  <c r="L444" i="14" s="1"/>
  <c r="L446" i="14" s="1"/>
  <c r="M307" i="14"/>
  <c r="M297" i="14"/>
  <c r="M294" i="14"/>
  <c r="M285" i="14"/>
  <c r="M305" i="14"/>
  <c r="M301" i="14"/>
  <c r="M287" i="14"/>
  <c r="M295" i="14"/>
  <c r="M306" i="14"/>
  <c r="M296" i="14"/>
  <c r="M286" i="14"/>
  <c r="M292" i="14"/>
  <c r="N482" i="14"/>
  <c r="N465" i="14"/>
  <c r="N412" i="14"/>
  <c r="N379" i="14"/>
  <c r="N382" i="14"/>
  <c r="N251" i="14"/>
  <c r="N224" i="14"/>
  <c r="N241" i="14"/>
  <c r="N237" i="14"/>
  <c r="N211" i="14"/>
  <c r="O190" i="14"/>
  <c r="N236" i="14"/>
  <c r="N188" i="14"/>
  <c r="N171" i="14"/>
  <c r="N234" i="14"/>
  <c r="N186" i="14"/>
  <c r="N363" i="14" s="1"/>
  <c r="N151" i="14"/>
  <c r="N128" i="14"/>
  <c r="N110" i="14"/>
  <c r="N228" i="14"/>
  <c r="N162" i="14"/>
  <c r="N87" i="14"/>
  <c r="N314" i="14" s="1"/>
  <c r="N439" i="14" s="1"/>
  <c r="N107" i="14"/>
  <c r="O1" i="14"/>
  <c r="N215" i="14"/>
  <c r="N220" i="14" s="1"/>
  <c r="N191" i="14" s="1"/>
  <c r="N193" i="14" s="1"/>
  <c r="N364" i="14" s="1"/>
  <c r="N96" i="14"/>
  <c r="N317" i="14" s="1"/>
  <c r="N442" i="14" s="1"/>
  <c r="N174" i="14"/>
  <c r="N175" i="14" s="1"/>
  <c r="N165" i="14"/>
  <c r="N167" i="14" s="1"/>
  <c r="N134" i="14"/>
  <c r="N80" i="14"/>
  <c r="O199" i="14"/>
  <c r="O349" i="14" s="1"/>
  <c r="O350" i="14" s="1"/>
  <c r="N160" i="14"/>
  <c r="N101" i="14"/>
  <c r="N318" i="14" s="1"/>
  <c r="N443" i="14" s="1"/>
  <c r="N105" i="14"/>
  <c r="N315" i="14" s="1"/>
  <c r="N440" i="14" s="1"/>
  <c r="N92" i="14"/>
  <c r="N316" i="14" s="1"/>
  <c r="N441" i="14" s="1"/>
  <c r="N166" i="14"/>
  <c r="N168" i="14" s="1"/>
  <c r="N122" i="14"/>
  <c r="L452" i="14"/>
  <c r="L331" i="14"/>
  <c r="M313" i="14"/>
  <c r="M108" i="14"/>
  <c r="M345" i="14"/>
  <c r="M268" i="14"/>
  <c r="L203" i="14"/>
  <c r="L259" i="14" s="1"/>
  <c r="O173" i="14"/>
  <c r="L346" i="14" l="1"/>
  <c r="L352" i="14" s="1"/>
  <c r="L355" i="14" s="1"/>
  <c r="L356" i="14" s="1"/>
  <c r="L359" i="14" s="1"/>
  <c r="L367" i="14" s="1"/>
  <c r="M203" i="14"/>
  <c r="M259" i="14" s="1"/>
  <c r="L265" i="14"/>
  <c r="N253" i="14"/>
  <c r="N269" i="14" s="1"/>
  <c r="N178" i="14"/>
  <c r="N362" i="14" s="1"/>
  <c r="N365" i="14" s="1"/>
  <c r="M438" i="14"/>
  <c r="M319" i="14"/>
  <c r="M260" i="14"/>
  <c r="M148" i="14"/>
  <c r="M452" i="14"/>
  <c r="M331" i="14"/>
  <c r="O465" i="14"/>
  <c r="O382" i="14"/>
  <c r="O412" i="14"/>
  <c r="O482" i="14"/>
  <c r="O379" i="14"/>
  <c r="O215" i="14"/>
  <c r="O220" i="14" s="1"/>
  <c r="O191" i="14" s="1"/>
  <c r="O193" i="14" s="1"/>
  <c r="O364" i="14" s="1"/>
  <c r="O236" i="14"/>
  <c r="O228" i="14"/>
  <c r="O237" i="14"/>
  <c r="O224" i="14"/>
  <c r="O211" i="14"/>
  <c r="O241" i="14"/>
  <c r="O188" i="14"/>
  <c r="O171" i="14"/>
  <c r="O251" i="14"/>
  <c r="O186" i="14"/>
  <c r="O363" i="14" s="1"/>
  <c r="O151" i="14"/>
  <c r="O234" i="14"/>
  <c r="O166" i="14"/>
  <c r="O168" i="14" s="1"/>
  <c r="O134" i="14"/>
  <c r="O162" i="14"/>
  <c r="O110" i="14"/>
  <c r="O87" i="14"/>
  <c r="O314" i="14" s="1"/>
  <c r="O439" i="14" s="1"/>
  <c r="O107" i="14"/>
  <c r="O128" i="14"/>
  <c r="O96" i="14"/>
  <c r="O317" i="14" s="1"/>
  <c r="O442" i="14" s="1"/>
  <c r="P1" i="14"/>
  <c r="P190" i="14"/>
  <c r="O174" i="14"/>
  <c r="O175" i="14" s="1"/>
  <c r="O165" i="14"/>
  <c r="O167" i="14" s="1"/>
  <c r="P199" i="14"/>
  <c r="P349" i="14" s="1"/>
  <c r="P350" i="14" s="1"/>
  <c r="O160" i="14"/>
  <c r="O101" i="14"/>
  <c r="O318" i="14" s="1"/>
  <c r="O443" i="14" s="1"/>
  <c r="O105" i="14"/>
  <c r="O315" i="14" s="1"/>
  <c r="O440" i="14" s="1"/>
  <c r="O92" i="14"/>
  <c r="O316" i="14" s="1"/>
  <c r="O441" i="14" s="1"/>
  <c r="O80" i="14"/>
  <c r="O122" i="14"/>
  <c r="N383" i="14"/>
  <c r="N384" i="14" s="1"/>
  <c r="N397" i="14" s="1"/>
  <c r="N380" i="14"/>
  <c r="N381" i="14" s="1"/>
  <c r="N391" i="14" s="1"/>
  <c r="P173" i="14"/>
  <c r="L205" i="14"/>
  <c r="N344" i="14"/>
  <c r="N232" i="14"/>
  <c r="M373" i="14"/>
  <c r="O339" i="14"/>
  <c r="O329" i="14"/>
  <c r="O311" i="14"/>
  <c r="O323" i="14"/>
  <c r="O279" i="14"/>
  <c r="P2" i="14"/>
  <c r="N345" i="14"/>
  <c r="N268" i="14"/>
  <c r="N305" i="14"/>
  <c r="N307" i="14"/>
  <c r="N285" i="14"/>
  <c r="N301" i="14"/>
  <c r="N292" i="14"/>
  <c r="N287" i="14"/>
  <c r="N306" i="14"/>
  <c r="N296" i="14"/>
  <c r="N286" i="14"/>
  <c r="N297" i="14"/>
  <c r="N294" i="14"/>
  <c r="N295" i="14"/>
  <c r="M346" i="14"/>
  <c r="M352" i="14" s="1"/>
  <c r="N313" i="14"/>
  <c r="N108" i="14"/>
  <c r="O178" i="14" l="1"/>
  <c r="O203" i="14" s="1"/>
  <c r="O259" i="14" s="1"/>
  <c r="M205" i="14"/>
  <c r="M265" i="14"/>
  <c r="N203" i="14"/>
  <c r="N259" i="14" s="1"/>
  <c r="N427" i="14"/>
  <c r="N373" i="14"/>
  <c r="N270" i="14"/>
  <c r="N255" i="14"/>
  <c r="N346" i="14"/>
  <c r="N352" i="14" s="1"/>
  <c r="N355" i="14" s="1"/>
  <c r="N356" i="14" s="1"/>
  <c r="N359" i="14" s="1"/>
  <c r="N367" i="14" s="1"/>
  <c r="O253" i="14"/>
  <c r="O269" i="14" s="1"/>
  <c r="O380" i="14"/>
  <c r="O381" i="14" s="1"/>
  <c r="O391" i="14" s="1"/>
  <c r="Q173" i="14"/>
  <c r="N260" i="14"/>
  <c r="N148" i="14"/>
  <c r="P465" i="14"/>
  <c r="P412" i="14"/>
  <c r="P482" i="14"/>
  <c r="P379" i="14"/>
  <c r="P382" i="14"/>
  <c r="P241" i="14"/>
  <c r="P237" i="14"/>
  <c r="P236" i="14"/>
  <c r="P234" i="14"/>
  <c r="P228" i="14"/>
  <c r="P188" i="14"/>
  <c r="P171" i="14"/>
  <c r="P251" i="14"/>
  <c r="P186" i="14"/>
  <c r="P363" i="14" s="1"/>
  <c r="P151" i="14"/>
  <c r="P122" i="14"/>
  <c r="P165" i="14"/>
  <c r="P167" i="14" s="1"/>
  <c r="P107" i="14"/>
  <c r="P96" i="14"/>
  <c r="P317" i="14" s="1"/>
  <c r="P442" i="14" s="1"/>
  <c r="Q1" i="14"/>
  <c r="P162" i="14"/>
  <c r="P215" i="14"/>
  <c r="P220" i="14" s="1"/>
  <c r="P191" i="14" s="1"/>
  <c r="P193" i="14" s="1"/>
  <c r="P364" i="14" s="1"/>
  <c r="Q190" i="14"/>
  <c r="P174" i="14"/>
  <c r="P175" i="14" s="1"/>
  <c r="Q199" i="14"/>
  <c r="Q349" i="14" s="1"/>
  <c r="Q350" i="14" s="1"/>
  <c r="P160" i="14"/>
  <c r="P105" i="14"/>
  <c r="P315" i="14" s="1"/>
  <c r="P440" i="14" s="1"/>
  <c r="P92" i="14"/>
  <c r="P316" i="14" s="1"/>
  <c r="P441" i="14" s="1"/>
  <c r="P110" i="14"/>
  <c r="P166" i="14"/>
  <c r="P168" i="14" s="1"/>
  <c r="P134" i="14"/>
  <c r="P128" i="14"/>
  <c r="P211" i="14"/>
  <c r="P80" i="14"/>
  <c r="P224" i="14"/>
  <c r="P101" i="14"/>
  <c r="P318" i="14" s="1"/>
  <c r="P443" i="14" s="1"/>
  <c r="P87" i="14"/>
  <c r="P314" i="14" s="1"/>
  <c r="P439" i="14" s="1"/>
  <c r="M444" i="14"/>
  <c r="M446" i="14" s="1"/>
  <c r="N438" i="14"/>
  <c r="N319" i="14"/>
  <c r="N444" i="14" s="1"/>
  <c r="N446" i="14" s="1"/>
  <c r="N454" i="14"/>
  <c r="N325" i="14"/>
  <c r="P339" i="14"/>
  <c r="P329" i="14"/>
  <c r="P323" i="14"/>
  <c r="P311" i="14"/>
  <c r="P279" i="14"/>
  <c r="Q2" i="14"/>
  <c r="O313" i="14"/>
  <c r="O108" i="14"/>
  <c r="M355" i="14"/>
  <c r="M356" i="14" s="1"/>
  <c r="M359" i="14" s="1"/>
  <c r="M367" i="14" s="1"/>
  <c r="O344" i="14"/>
  <c r="O232" i="14"/>
  <c r="O345" i="14"/>
  <c r="O268" i="14"/>
  <c r="O383" i="14"/>
  <c r="O384" i="14" s="1"/>
  <c r="O397" i="14" s="1"/>
  <c r="N452" i="14"/>
  <c r="N331" i="14"/>
  <c r="O286" i="14"/>
  <c r="O306" i="14"/>
  <c r="O301" i="14"/>
  <c r="O292" i="14"/>
  <c r="O305" i="14"/>
  <c r="O297" i="14"/>
  <c r="O295" i="14"/>
  <c r="O296" i="14"/>
  <c r="O285" i="14"/>
  <c r="O307" i="14"/>
  <c r="O294" i="14"/>
  <c r="O287" i="14"/>
  <c r="O362" i="14" l="1"/>
  <c r="O365" i="14" s="1"/>
  <c r="N205" i="14"/>
  <c r="N265" i="14"/>
  <c r="O270" i="14"/>
  <c r="O427" i="14"/>
  <c r="O255" i="14"/>
  <c r="P178" i="14"/>
  <c r="O346" i="14"/>
  <c r="O352" i="14" s="1"/>
  <c r="O438" i="14"/>
  <c r="O319" i="14"/>
  <c r="O444" i="14" s="1"/>
  <c r="O446" i="14" s="1"/>
  <c r="Q482" i="14"/>
  <c r="Q412" i="14"/>
  <c r="Q465" i="14"/>
  <c r="Q379" i="14"/>
  <c r="Q382" i="14"/>
  <c r="Q241" i="14"/>
  <c r="Q236" i="14"/>
  <c r="Q234" i="14"/>
  <c r="Q228" i="14"/>
  <c r="Q251" i="14"/>
  <c r="Q186" i="14"/>
  <c r="Q363" i="14" s="1"/>
  <c r="Q151" i="14"/>
  <c r="Q166" i="14"/>
  <c r="Q168" i="14" s="1"/>
  <c r="Q134" i="14"/>
  <c r="Q215" i="14"/>
  <c r="Q220" i="14" s="1"/>
  <c r="Q191" i="14" s="1"/>
  <c r="Q193" i="14" s="1"/>
  <c r="Q364" i="14" s="1"/>
  <c r="Q96" i="14"/>
  <c r="Q317" i="14" s="1"/>
  <c r="Q442" i="14" s="1"/>
  <c r="R190" i="14"/>
  <c r="Q174" i="14"/>
  <c r="Q175" i="14" s="1"/>
  <c r="R1" i="14"/>
  <c r="Q165" i="14"/>
  <c r="Q167" i="14" s="1"/>
  <c r="R199" i="14"/>
  <c r="R349" i="14" s="1"/>
  <c r="R350" i="14" s="1"/>
  <c r="Q160" i="14"/>
  <c r="Q105" i="14"/>
  <c r="Q315" i="14" s="1"/>
  <c r="Q440" i="14" s="1"/>
  <c r="Q92" i="14"/>
  <c r="Q316" i="14" s="1"/>
  <c r="Q441" i="14" s="1"/>
  <c r="Q87" i="14"/>
  <c r="Q314" i="14" s="1"/>
  <c r="Q439" i="14" s="1"/>
  <c r="Q211" i="14"/>
  <c r="Q188" i="14"/>
  <c r="Q80" i="14"/>
  <c r="Q162" i="14"/>
  <c r="Q237" i="14"/>
  <c r="Q224" i="14"/>
  <c r="Q101" i="14"/>
  <c r="Q318" i="14" s="1"/>
  <c r="Q443" i="14" s="1"/>
  <c r="Q107" i="14"/>
  <c r="Q171" i="14"/>
  <c r="Q128" i="14"/>
  <c r="Q122" i="14"/>
  <c r="Q110" i="14"/>
  <c r="P345" i="14"/>
  <c r="P268" i="14"/>
  <c r="O452" i="14"/>
  <c r="O331" i="14"/>
  <c r="Q339" i="14"/>
  <c r="Q329" i="14"/>
  <c r="Q311" i="14"/>
  <c r="Q323" i="14"/>
  <c r="Q279" i="14"/>
  <c r="R2" i="14"/>
  <c r="P253" i="14"/>
  <c r="O373" i="14"/>
  <c r="N455" i="14"/>
  <c r="P344" i="14"/>
  <c r="P232" i="14"/>
  <c r="O260" i="14"/>
  <c r="O265" i="14" s="1"/>
  <c r="O148" i="14"/>
  <c r="O205" i="14" s="1"/>
  <c r="P305" i="14"/>
  <c r="P306" i="14"/>
  <c r="P301" i="14"/>
  <c r="P297" i="14"/>
  <c r="P295" i="14"/>
  <c r="P292" i="14"/>
  <c r="P296" i="14"/>
  <c r="P285" i="14"/>
  <c r="P307" i="14"/>
  <c r="P286" i="14"/>
  <c r="P294" i="14"/>
  <c r="P287" i="14"/>
  <c r="O454" i="14"/>
  <c r="O325" i="14"/>
  <c r="P313" i="14"/>
  <c r="P108" i="14"/>
  <c r="P383" i="14"/>
  <c r="P384" i="14" s="1"/>
  <c r="P397" i="14" s="1"/>
  <c r="R173" i="14"/>
  <c r="P380" i="14"/>
  <c r="P381" i="14" s="1"/>
  <c r="P391" i="14" s="1"/>
  <c r="Q178" i="14" l="1"/>
  <c r="Q362" i="14" s="1"/>
  <c r="Q365" i="14" s="1"/>
  <c r="P346" i="14"/>
  <c r="P352" i="14" s="1"/>
  <c r="P355" i="14" s="1"/>
  <c r="P356" i="14" s="1"/>
  <c r="P359" i="14" s="1"/>
  <c r="P373" i="14"/>
  <c r="Q253" i="14"/>
  <c r="Q269" i="14" s="1"/>
  <c r="O455" i="14"/>
  <c r="P255" i="14"/>
  <c r="Q313" i="14"/>
  <c r="Q108" i="14"/>
  <c r="R482" i="14"/>
  <c r="R412" i="14"/>
  <c r="R465" i="14"/>
  <c r="R379" i="14"/>
  <c r="R382" i="14"/>
  <c r="R215" i="14"/>
  <c r="R220" i="14" s="1"/>
  <c r="R191" i="14" s="1"/>
  <c r="R193" i="14" s="1"/>
  <c r="R364" i="14" s="1"/>
  <c r="R237" i="14"/>
  <c r="R234" i="14"/>
  <c r="R228" i="14"/>
  <c r="R251" i="14"/>
  <c r="R241" i="14"/>
  <c r="R236" i="14"/>
  <c r="R166" i="14"/>
  <c r="R168" i="14" s="1"/>
  <c r="R165" i="14"/>
  <c r="R167" i="14" s="1"/>
  <c r="R174" i="14"/>
  <c r="R175" i="14" s="1"/>
  <c r="S190" i="14"/>
  <c r="S1" i="14"/>
  <c r="S199" i="14"/>
  <c r="S349" i="14" s="1"/>
  <c r="S350" i="14" s="1"/>
  <c r="R160" i="14"/>
  <c r="R105" i="14"/>
  <c r="R315" i="14" s="1"/>
  <c r="R440" i="14" s="1"/>
  <c r="R92" i="14"/>
  <c r="R316" i="14" s="1"/>
  <c r="R441" i="14" s="1"/>
  <c r="R96" i="14"/>
  <c r="R317" i="14" s="1"/>
  <c r="R442" i="14" s="1"/>
  <c r="R211" i="14"/>
  <c r="R188" i="14"/>
  <c r="R80" i="14"/>
  <c r="R224" i="14"/>
  <c r="R101" i="14"/>
  <c r="R318" i="14" s="1"/>
  <c r="R443" i="14" s="1"/>
  <c r="R151" i="14"/>
  <c r="R171" i="14"/>
  <c r="R128" i="14"/>
  <c r="R122" i="14"/>
  <c r="R186" i="14"/>
  <c r="R363" i="14" s="1"/>
  <c r="R162" i="14"/>
  <c r="R134" i="14"/>
  <c r="R110" i="14"/>
  <c r="R87" i="14"/>
  <c r="R314" i="14" s="1"/>
  <c r="R439" i="14" s="1"/>
  <c r="R107" i="14"/>
  <c r="Q345" i="14"/>
  <c r="Q268" i="14"/>
  <c r="R329" i="14"/>
  <c r="R311" i="14"/>
  <c r="R323" i="14"/>
  <c r="R279" i="14"/>
  <c r="R339" i="14"/>
  <c r="S2" i="14"/>
  <c r="P427" i="14"/>
  <c r="P269" i="14"/>
  <c r="P270" i="14" s="1"/>
  <c r="O355" i="14"/>
  <c r="O356" i="14" s="1"/>
  <c r="O359" i="14" s="1"/>
  <c r="O367" i="14" s="1"/>
  <c r="S173" i="14"/>
  <c r="P260" i="14"/>
  <c r="P148" i="14"/>
  <c r="Q380" i="14"/>
  <c r="Q381" i="14" s="1"/>
  <c r="Q391" i="14" s="1"/>
  <c r="Q306" i="14"/>
  <c r="Q301" i="14"/>
  <c r="Q296" i="14"/>
  <c r="Q305" i="14"/>
  <c r="Q297" i="14"/>
  <c r="Q292" i="14"/>
  <c r="Q307" i="14"/>
  <c r="Q286" i="14"/>
  <c r="Q294" i="14"/>
  <c r="Q287" i="14"/>
  <c r="Q295" i="14"/>
  <c r="Q285" i="14"/>
  <c r="P452" i="14"/>
  <c r="P331" i="14"/>
  <c r="P362" i="14"/>
  <c r="P365" i="14" s="1"/>
  <c r="P203" i="14"/>
  <c r="P259" i="14" s="1"/>
  <c r="P438" i="14"/>
  <c r="P319" i="14"/>
  <c r="P444" i="14" s="1"/>
  <c r="P446" i="14" s="1"/>
  <c r="P454" i="14"/>
  <c r="P325" i="14"/>
  <c r="Q344" i="14"/>
  <c r="Q232" i="14"/>
  <c r="Q383" i="14"/>
  <c r="Q384" i="14" s="1"/>
  <c r="Q397" i="14" s="1"/>
  <c r="Q373" i="14" l="1"/>
  <c r="R178" i="14"/>
  <c r="R362" i="14" s="1"/>
  <c r="R365" i="14" s="1"/>
  <c r="Q203" i="14"/>
  <c r="Q259" i="14" s="1"/>
  <c r="Q427" i="14"/>
  <c r="Q346" i="14"/>
  <c r="Q352" i="14" s="1"/>
  <c r="Q355" i="14" s="1"/>
  <c r="Q356" i="14" s="1"/>
  <c r="Q359" i="14" s="1"/>
  <c r="Q367" i="14" s="1"/>
  <c r="Q255" i="14"/>
  <c r="P205" i="14"/>
  <c r="P367" i="14"/>
  <c r="S311" i="14"/>
  <c r="S329" i="14"/>
  <c r="S323" i="14"/>
  <c r="S339" i="14"/>
  <c r="S279" i="14"/>
  <c r="T2" i="14"/>
  <c r="Q260" i="14"/>
  <c r="Q148" i="14"/>
  <c r="T173" i="14"/>
  <c r="Q438" i="14"/>
  <c r="Q319" i="14"/>
  <c r="Q444" i="14" s="1"/>
  <c r="Q446" i="14" s="1"/>
  <c r="R307" i="14"/>
  <c r="R305" i="14"/>
  <c r="R297" i="14"/>
  <c r="R296" i="14"/>
  <c r="R287" i="14"/>
  <c r="R285" i="14"/>
  <c r="R306" i="14"/>
  <c r="R286" i="14"/>
  <c r="R294" i="14"/>
  <c r="R301" i="14"/>
  <c r="R295" i="14"/>
  <c r="R292" i="14"/>
  <c r="R383" i="14"/>
  <c r="R384" i="14" s="1"/>
  <c r="R397" i="14" s="1"/>
  <c r="R380" i="14"/>
  <c r="R381" i="14" s="1"/>
  <c r="R391" i="14" s="1"/>
  <c r="P265" i="14"/>
  <c r="S482" i="14"/>
  <c r="S465" i="14"/>
  <c r="S411" i="14"/>
  <c r="S382" i="14"/>
  <c r="S379" i="14"/>
  <c r="S251" i="14"/>
  <c r="S237" i="14"/>
  <c r="S236" i="14"/>
  <c r="S224" i="14"/>
  <c r="S166" i="14"/>
  <c r="S168" i="14" s="1"/>
  <c r="S134" i="14"/>
  <c r="S165" i="14"/>
  <c r="S167" i="14" s="1"/>
  <c r="S234" i="14"/>
  <c r="S162" i="14"/>
  <c r="S174" i="14"/>
  <c r="S175" i="14" s="1"/>
  <c r="S241" i="14"/>
  <c r="S215" i="14"/>
  <c r="S220" i="14" s="1"/>
  <c r="S191" i="14" s="1"/>
  <c r="S193" i="14" s="1"/>
  <c r="S364" i="14" s="1"/>
  <c r="T199" i="14"/>
  <c r="T349" i="14" s="1"/>
  <c r="T350" i="14" s="1"/>
  <c r="S160" i="14"/>
  <c r="T190" i="14"/>
  <c r="S105" i="14"/>
  <c r="S315" i="14" s="1"/>
  <c r="S440" i="14" s="1"/>
  <c r="S92" i="14"/>
  <c r="S316" i="14" s="1"/>
  <c r="S441" i="14" s="1"/>
  <c r="S211" i="14"/>
  <c r="S188" i="14"/>
  <c r="S80" i="14"/>
  <c r="S101" i="14"/>
  <c r="S318" i="14" s="1"/>
  <c r="S443" i="14" s="1"/>
  <c r="S171" i="14"/>
  <c r="S128" i="14"/>
  <c r="S122" i="14"/>
  <c r="S110" i="14"/>
  <c r="S87" i="14"/>
  <c r="S314" i="14" s="1"/>
  <c r="S439" i="14" s="1"/>
  <c r="S151" i="14"/>
  <c r="S107" i="14"/>
  <c r="S228" i="14"/>
  <c r="S186" i="14"/>
  <c r="S363" i="14" s="1"/>
  <c r="S96" i="14"/>
  <c r="S317" i="14" s="1"/>
  <c r="S442" i="14" s="1"/>
  <c r="T1" i="14"/>
  <c r="R345" i="14"/>
  <c r="R268" i="14"/>
  <c r="Q270" i="14"/>
  <c r="Q452" i="14"/>
  <c r="Q331" i="14"/>
  <c r="R344" i="14"/>
  <c r="R232" i="14"/>
  <c r="R253" i="14"/>
  <c r="Q454" i="14"/>
  <c r="Q325" i="14"/>
  <c r="P455" i="14"/>
  <c r="R313" i="14"/>
  <c r="R108" i="14"/>
  <c r="Q205" i="14" l="1"/>
  <c r="Q265" i="14"/>
  <c r="R373" i="14"/>
  <c r="R203" i="14"/>
  <c r="R259" i="14" s="1"/>
  <c r="S178" i="14"/>
  <c r="S362" i="14" s="1"/>
  <c r="S365" i="14" s="1"/>
  <c r="R452" i="14"/>
  <c r="R331" i="14"/>
  <c r="S383" i="14"/>
  <c r="S384" i="14" s="1"/>
  <c r="S397" i="14" s="1"/>
  <c r="T329" i="14"/>
  <c r="T323" i="14"/>
  <c r="T339" i="14"/>
  <c r="T279" i="14"/>
  <c r="T311" i="14"/>
  <c r="U2" i="14"/>
  <c r="R454" i="14"/>
  <c r="R325" i="14"/>
  <c r="S305" i="14"/>
  <c r="S307" i="14"/>
  <c r="S297" i="14"/>
  <c r="S296" i="14"/>
  <c r="S295" i="14"/>
  <c r="S306" i="14"/>
  <c r="S286" i="14"/>
  <c r="S294" i="14"/>
  <c r="S301" i="14"/>
  <c r="S287" i="14"/>
  <c r="S292" i="14"/>
  <c r="S285" i="14"/>
  <c r="R255" i="14"/>
  <c r="S344" i="14"/>
  <c r="S232" i="14"/>
  <c r="R346" i="14"/>
  <c r="R352" i="14" s="1"/>
  <c r="S253" i="14"/>
  <c r="U173" i="14"/>
  <c r="R427" i="14"/>
  <c r="R269" i="14"/>
  <c r="R270" i="14" s="1"/>
  <c r="R260" i="14"/>
  <c r="R148" i="14"/>
  <c r="Q455" i="14"/>
  <c r="T482" i="14"/>
  <c r="T465" i="14"/>
  <c r="T379" i="14"/>
  <c r="T382" i="14"/>
  <c r="T411" i="14"/>
  <c r="T251" i="14"/>
  <c r="T234" i="14"/>
  <c r="T228" i="14"/>
  <c r="T224" i="14"/>
  <c r="T241" i="14"/>
  <c r="T165" i="14"/>
  <c r="T167" i="14" s="1"/>
  <c r="T215" i="14"/>
  <c r="T220" i="14" s="1"/>
  <c r="T191" i="14" s="1"/>
  <c r="T193" i="14" s="1"/>
  <c r="T364" i="14" s="1"/>
  <c r="T174" i="14"/>
  <c r="T175" i="14" s="1"/>
  <c r="U199" i="14"/>
  <c r="U349" i="14" s="1"/>
  <c r="U350" i="14" s="1"/>
  <c r="T160" i="14"/>
  <c r="T105" i="14"/>
  <c r="T315" i="14" s="1"/>
  <c r="T440" i="14" s="1"/>
  <c r="T92" i="14"/>
  <c r="T316" i="14" s="1"/>
  <c r="T441" i="14" s="1"/>
  <c r="T236" i="14"/>
  <c r="T211" i="14"/>
  <c r="T188" i="14"/>
  <c r="T80" i="14"/>
  <c r="T101" i="14"/>
  <c r="T318" i="14" s="1"/>
  <c r="T443" i="14" s="1"/>
  <c r="T171" i="14"/>
  <c r="T128" i="14"/>
  <c r="T122" i="14"/>
  <c r="T237" i="14"/>
  <c r="T110" i="14"/>
  <c r="T87" i="14"/>
  <c r="T314" i="14" s="1"/>
  <c r="T439" i="14" s="1"/>
  <c r="T162" i="14"/>
  <c r="T134" i="14"/>
  <c r="T107" i="14"/>
  <c r="T186" i="14"/>
  <c r="T363" i="14" s="1"/>
  <c r="T166" i="14"/>
  <c r="T168" i="14" s="1"/>
  <c r="T151" i="14"/>
  <c r="T96" i="14"/>
  <c r="T317" i="14" s="1"/>
  <c r="T442" i="14" s="1"/>
  <c r="U190" i="14"/>
  <c r="U1" i="14"/>
  <c r="S313" i="14"/>
  <c r="S108" i="14"/>
  <c r="S345" i="14"/>
  <c r="S268" i="14"/>
  <c r="S380" i="14"/>
  <c r="S381" i="14" s="1"/>
  <c r="S391" i="14" s="1"/>
  <c r="R438" i="14"/>
  <c r="R319" i="14"/>
  <c r="R444" i="14" s="1"/>
  <c r="R446" i="14" s="1"/>
  <c r="R205" i="14" l="1"/>
  <c r="R265" i="14"/>
  <c r="S203" i="14"/>
  <c r="S259" i="14" s="1"/>
  <c r="S346" i="14"/>
  <c r="S352" i="14" s="1"/>
  <c r="S355" i="14" s="1"/>
  <c r="S356" i="14" s="1"/>
  <c r="S359" i="14" s="1"/>
  <c r="S367" i="14" s="1"/>
  <c r="T253" i="14"/>
  <c r="T427" i="14" s="1"/>
  <c r="T178" i="14"/>
  <c r="S427" i="14"/>
  <c r="S269" i="14"/>
  <c r="S270" i="14" s="1"/>
  <c r="T344" i="14"/>
  <c r="T232" i="14"/>
  <c r="T345" i="14"/>
  <c r="T268" i="14"/>
  <c r="T380" i="14"/>
  <c r="T381" i="14" s="1"/>
  <c r="T391" i="14" s="1"/>
  <c r="R355" i="14"/>
  <c r="R356" i="14" s="1"/>
  <c r="R359" i="14" s="1"/>
  <c r="R367" i="14" s="1"/>
  <c r="S260" i="14"/>
  <c r="S148" i="14"/>
  <c r="U311" i="14"/>
  <c r="U329" i="14"/>
  <c r="U323" i="14"/>
  <c r="U339" i="14"/>
  <c r="U279" i="14"/>
  <c r="V2" i="14"/>
  <c r="S438" i="14"/>
  <c r="S319" i="14"/>
  <c r="S444" i="14" s="1"/>
  <c r="S446" i="14" s="1"/>
  <c r="T383" i="14"/>
  <c r="T384" i="14" s="1"/>
  <c r="T397" i="14" s="1"/>
  <c r="U482" i="14"/>
  <c r="U465" i="14"/>
  <c r="U382" i="14"/>
  <c r="U379" i="14"/>
  <c r="U411" i="14"/>
  <c r="U211" i="14"/>
  <c r="V199" i="14"/>
  <c r="V349" i="14" s="1"/>
  <c r="V350" i="14" s="1"/>
  <c r="U224" i="14"/>
  <c r="U251" i="14"/>
  <c r="U241" i="14"/>
  <c r="U234" i="14"/>
  <c r="U215" i="14"/>
  <c r="U220" i="14" s="1"/>
  <c r="U191" i="14" s="1"/>
  <c r="U193" i="14" s="1"/>
  <c r="U364" i="14" s="1"/>
  <c r="U174" i="14"/>
  <c r="U175" i="14" s="1"/>
  <c r="U162" i="14"/>
  <c r="U128" i="14"/>
  <c r="U160" i="14"/>
  <c r="U105" i="14"/>
  <c r="U315" i="14" s="1"/>
  <c r="U440" i="14" s="1"/>
  <c r="U92" i="14"/>
  <c r="U316" i="14" s="1"/>
  <c r="U441" i="14" s="1"/>
  <c r="U236" i="14"/>
  <c r="U165" i="14"/>
  <c r="U167" i="14" s="1"/>
  <c r="U188" i="14"/>
  <c r="U80" i="14"/>
  <c r="U101" i="14"/>
  <c r="U318" i="14" s="1"/>
  <c r="U443" i="14" s="1"/>
  <c r="U171" i="14"/>
  <c r="U122" i="14"/>
  <c r="U237" i="14"/>
  <c r="U110" i="14"/>
  <c r="U87" i="14"/>
  <c r="U314" i="14" s="1"/>
  <c r="U439" i="14" s="1"/>
  <c r="U134" i="14"/>
  <c r="U107" i="14"/>
  <c r="U186" i="14"/>
  <c r="U363" i="14" s="1"/>
  <c r="U166" i="14"/>
  <c r="U168" i="14" s="1"/>
  <c r="U151" i="14"/>
  <c r="U96" i="14"/>
  <c r="U317" i="14" s="1"/>
  <c r="U442" i="14" s="1"/>
  <c r="U228" i="14"/>
  <c r="V190" i="14"/>
  <c r="V1" i="14"/>
  <c r="T285" i="14"/>
  <c r="T307" i="14"/>
  <c r="T297" i="14"/>
  <c r="T296" i="14"/>
  <c r="T287" i="14"/>
  <c r="T295" i="14"/>
  <c r="T306" i="14"/>
  <c r="T305" i="14"/>
  <c r="T294" i="14"/>
  <c r="T301" i="14"/>
  <c r="T292" i="14"/>
  <c r="T286" i="14"/>
  <c r="V173" i="14"/>
  <c r="R455" i="14"/>
  <c r="S452" i="14"/>
  <c r="S331" i="14"/>
  <c r="T313" i="14"/>
  <c r="T108" i="14"/>
  <c r="S373" i="14"/>
  <c r="S454" i="14"/>
  <c r="S325" i="14"/>
  <c r="S255" i="14"/>
  <c r="U178" i="14" l="1"/>
  <c r="U362" i="14" s="1"/>
  <c r="U365" i="14" s="1"/>
  <c r="S265" i="14"/>
  <c r="S205" i="14"/>
  <c r="T255" i="14"/>
  <c r="T269" i="14"/>
  <c r="T270" i="14" s="1"/>
  <c r="S455" i="14"/>
  <c r="T438" i="14"/>
  <c r="T319" i="14"/>
  <c r="T444" i="14" s="1"/>
  <c r="T446" i="14" s="1"/>
  <c r="U383" i="14"/>
  <c r="U384" i="14" s="1"/>
  <c r="U397" i="14" s="1"/>
  <c r="T373" i="14"/>
  <c r="T452" i="14"/>
  <c r="T331" i="14"/>
  <c r="U344" i="14"/>
  <c r="U232" i="14"/>
  <c r="V329" i="14"/>
  <c r="V323" i="14"/>
  <c r="V339" i="14"/>
  <c r="V311" i="14"/>
  <c r="V279" i="14"/>
  <c r="W2" i="14"/>
  <c r="U305" i="14"/>
  <c r="U295" i="14"/>
  <c r="U292" i="14"/>
  <c r="U296" i="14"/>
  <c r="U287" i="14"/>
  <c r="U306" i="14"/>
  <c r="U294" i="14"/>
  <c r="U286" i="14"/>
  <c r="U297" i="14"/>
  <c r="U285" i="14"/>
  <c r="U307" i="14"/>
  <c r="U301" i="14"/>
  <c r="V482" i="14"/>
  <c r="V465" i="14"/>
  <c r="V382" i="14"/>
  <c r="V411" i="14"/>
  <c r="V236" i="14"/>
  <c r="V251" i="14"/>
  <c r="V241" i="14"/>
  <c r="V379" i="14"/>
  <c r="V234" i="14"/>
  <c r="V215" i="14"/>
  <c r="V220" i="14" s="1"/>
  <c r="V191" i="14" s="1"/>
  <c r="V193" i="14" s="1"/>
  <c r="V364" i="14" s="1"/>
  <c r="V174" i="14"/>
  <c r="V175" i="14" s="1"/>
  <c r="V162" i="14"/>
  <c r="V160" i="14"/>
  <c r="V228" i="14"/>
  <c r="W190" i="14"/>
  <c r="W199" i="14"/>
  <c r="W349" i="14" s="1"/>
  <c r="W350" i="14" s="1"/>
  <c r="V165" i="14"/>
  <c r="V167" i="14" s="1"/>
  <c r="V80" i="14"/>
  <c r="V188" i="14"/>
  <c r="V211" i="14"/>
  <c r="V101" i="14"/>
  <c r="V318" i="14" s="1"/>
  <c r="V443" i="14" s="1"/>
  <c r="V171" i="14"/>
  <c r="V122" i="14"/>
  <c r="V237" i="14"/>
  <c r="V128" i="14"/>
  <c r="V110" i="14"/>
  <c r="V87" i="14"/>
  <c r="V314" i="14" s="1"/>
  <c r="V439" i="14" s="1"/>
  <c r="V224" i="14"/>
  <c r="V134" i="14"/>
  <c r="V107" i="14"/>
  <c r="V186" i="14"/>
  <c r="V363" i="14" s="1"/>
  <c r="V166" i="14"/>
  <c r="V168" i="14" s="1"/>
  <c r="V151" i="14"/>
  <c r="V96" i="14"/>
  <c r="V317" i="14" s="1"/>
  <c r="V442" i="14" s="1"/>
  <c r="W1" i="14"/>
  <c r="V105" i="14"/>
  <c r="V315" i="14" s="1"/>
  <c r="V440" i="14" s="1"/>
  <c r="V92" i="14"/>
  <c r="V316" i="14" s="1"/>
  <c r="V441" i="14" s="1"/>
  <c r="U253" i="14"/>
  <c r="T346" i="14"/>
  <c r="T352" i="14" s="1"/>
  <c r="T260" i="14"/>
  <c r="T148" i="14"/>
  <c r="U345" i="14"/>
  <c r="U268" i="14"/>
  <c r="T454" i="14"/>
  <c r="T325" i="14"/>
  <c r="T362" i="14"/>
  <c r="T365" i="14" s="1"/>
  <c r="T203" i="14"/>
  <c r="T259" i="14" s="1"/>
  <c r="U313" i="14"/>
  <c r="U108" i="14"/>
  <c r="W173" i="14"/>
  <c r="U380" i="14"/>
  <c r="U381" i="14" s="1"/>
  <c r="U391" i="14" s="1"/>
  <c r="U203" i="14" l="1"/>
  <c r="U259" i="14" s="1"/>
  <c r="U373" i="14"/>
  <c r="T265" i="14"/>
  <c r="U255" i="14"/>
  <c r="V178" i="14"/>
  <c r="V362" i="14" s="1"/>
  <c r="V365" i="14" s="1"/>
  <c r="U452" i="14"/>
  <c r="U331" i="14"/>
  <c r="T205" i="14"/>
  <c r="U346" i="14"/>
  <c r="U352" i="14" s="1"/>
  <c r="T355" i="14"/>
  <c r="T356" i="14" s="1"/>
  <c r="T359" i="14" s="1"/>
  <c r="T367" i="14" s="1"/>
  <c r="V383" i="14"/>
  <c r="V384" i="14" s="1"/>
  <c r="V397" i="14" s="1"/>
  <c r="T455" i="14"/>
  <c r="V344" i="14"/>
  <c r="V232" i="14"/>
  <c r="W323" i="14"/>
  <c r="W339" i="14"/>
  <c r="W329" i="14"/>
  <c r="W311" i="14"/>
  <c r="W279" i="14"/>
  <c r="X2" i="14"/>
  <c r="W482" i="14"/>
  <c r="W465" i="14"/>
  <c r="W411" i="14"/>
  <c r="W382" i="14"/>
  <c r="W379" i="14"/>
  <c r="W234" i="14"/>
  <c r="W228" i="14"/>
  <c r="W224" i="14"/>
  <c r="W251" i="14"/>
  <c r="W241" i="14"/>
  <c r="W215" i="14"/>
  <c r="W220" i="14" s="1"/>
  <c r="W191" i="14" s="1"/>
  <c r="W193" i="14" s="1"/>
  <c r="W364" i="14" s="1"/>
  <c r="W237" i="14"/>
  <c r="W162" i="14"/>
  <c r="W160" i="14"/>
  <c r="W128" i="14"/>
  <c r="W236" i="14"/>
  <c r="W80" i="14"/>
  <c r="W188" i="14"/>
  <c r="W211" i="14"/>
  <c r="W101" i="14"/>
  <c r="W318" i="14" s="1"/>
  <c r="W443" i="14" s="1"/>
  <c r="W171" i="14"/>
  <c r="W122" i="14"/>
  <c r="W110" i="14"/>
  <c r="W134" i="14"/>
  <c r="W107" i="14"/>
  <c r="W186" i="14"/>
  <c r="W363" i="14" s="1"/>
  <c r="W166" i="14"/>
  <c r="W168" i="14" s="1"/>
  <c r="W151" i="14"/>
  <c r="W96" i="14"/>
  <c r="W317" i="14" s="1"/>
  <c r="W442" i="14" s="1"/>
  <c r="W105" i="14"/>
  <c r="W315" i="14" s="1"/>
  <c r="W440" i="14" s="1"/>
  <c r="X1" i="14"/>
  <c r="W174" i="14"/>
  <c r="W175" i="14" s="1"/>
  <c r="W165" i="14"/>
  <c r="W167" i="14" s="1"/>
  <c r="X190" i="14"/>
  <c r="W92" i="14"/>
  <c r="W316" i="14" s="1"/>
  <c r="W441" i="14" s="1"/>
  <c r="V313" i="14"/>
  <c r="V108" i="14"/>
  <c r="V287" i="14"/>
  <c r="V306" i="14"/>
  <c r="V307" i="14"/>
  <c r="V295" i="14"/>
  <c r="V285" i="14"/>
  <c r="V286" i="14"/>
  <c r="V305" i="14"/>
  <c r="V301" i="14"/>
  <c r="V292" i="14"/>
  <c r="V294" i="14"/>
  <c r="V297" i="14"/>
  <c r="V296" i="14"/>
  <c r="U260" i="14"/>
  <c r="U148" i="14"/>
  <c r="U427" i="14"/>
  <c r="U269" i="14"/>
  <c r="U270" i="14" s="1"/>
  <c r="V380" i="14"/>
  <c r="V381" i="14" s="1"/>
  <c r="V391" i="14" s="1"/>
  <c r="U454" i="14"/>
  <c r="U325" i="14"/>
  <c r="V345" i="14"/>
  <c r="V268" i="14"/>
  <c r="U438" i="14"/>
  <c r="U319" i="14"/>
  <c r="U444" i="14" s="1"/>
  <c r="U446" i="14" s="1"/>
  <c r="V253" i="14"/>
  <c r="U205" i="14" l="1"/>
  <c r="U265" i="14"/>
  <c r="W178" i="14"/>
  <c r="W362" i="14" s="1"/>
  <c r="W365" i="14" s="1"/>
  <c r="V346" i="14"/>
  <c r="V352" i="14" s="1"/>
  <c r="V355" i="14" s="1"/>
  <c r="V356" i="14" s="1"/>
  <c r="V359" i="14" s="1"/>
  <c r="V367" i="14" s="1"/>
  <c r="V255" i="14"/>
  <c r="V203" i="14"/>
  <c r="V259" i="14" s="1"/>
  <c r="W313" i="14"/>
  <c r="V452" i="14"/>
  <c r="V331" i="14"/>
  <c r="W345" i="14"/>
  <c r="W268" i="14"/>
  <c r="V427" i="14"/>
  <c r="V269" i="14"/>
  <c r="V270" i="14" s="1"/>
  <c r="W344" i="14"/>
  <c r="W232" i="14"/>
  <c r="W380" i="14"/>
  <c r="W381" i="14" s="1"/>
  <c r="W391" i="14" s="1"/>
  <c r="X339" i="14"/>
  <c r="X311" i="14"/>
  <c r="X329" i="14"/>
  <c r="X323" i="14"/>
  <c r="X279" i="14"/>
  <c r="Y2" i="14"/>
  <c r="V454" i="14"/>
  <c r="V325" i="14"/>
  <c r="W307" i="14"/>
  <c r="W295" i="14"/>
  <c r="W306" i="14"/>
  <c r="W294" i="14"/>
  <c r="W286" i="14"/>
  <c r="W305" i="14"/>
  <c r="W301" i="14"/>
  <c r="W296" i="14"/>
  <c r="W292" i="14"/>
  <c r="W287" i="14"/>
  <c r="W285" i="14"/>
  <c r="W297" i="14"/>
  <c r="X482" i="14"/>
  <c r="X465" i="14"/>
  <c r="X382" i="14"/>
  <c r="X412" i="14"/>
  <c r="X411" i="14"/>
  <c r="X379" i="14"/>
  <c r="X341" i="14"/>
  <c r="X241" i="14"/>
  <c r="X237" i="14"/>
  <c r="X224" i="14"/>
  <c r="X251" i="14"/>
  <c r="X160" i="14"/>
  <c r="Y190" i="14"/>
  <c r="X228" i="14"/>
  <c r="X211" i="14"/>
  <c r="X188" i="14"/>
  <c r="X171" i="14"/>
  <c r="X215" i="14"/>
  <c r="X220" i="14" s="1"/>
  <c r="X191" i="14" s="1"/>
  <c r="X193" i="14" s="1"/>
  <c r="X364" i="14" s="1"/>
  <c r="X80" i="14"/>
  <c r="X101" i="14"/>
  <c r="X318" i="14" s="1"/>
  <c r="X443" i="14" s="1"/>
  <c r="X236" i="14"/>
  <c r="X122" i="14"/>
  <c r="X110" i="14"/>
  <c r="X87" i="14"/>
  <c r="X314" i="14" s="1"/>
  <c r="X439" i="14" s="1"/>
  <c r="X134" i="14"/>
  <c r="X128" i="14"/>
  <c r="X107" i="14"/>
  <c r="X186" i="14"/>
  <c r="X363" i="14" s="1"/>
  <c r="X166" i="14"/>
  <c r="X168" i="14" s="1"/>
  <c r="X151" i="14"/>
  <c r="X96" i="14"/>
  <c r="X317" i="14" s="1"/>
  <c r="X442" i="14" s="1"/>
  <c r="Y1" i="14"/>
  <c r="X162" i="14"/>
  <c r="X174" i="14"/>
  <c r="X175" i="14" s="1"/>
  <c r="X234" i="14"/>
  <c r="X105" i="14"/>
  <c r="X315" i="14" s="1"/>
  <c r="X440" i="14" s="1"/>
  <c r="X92" i="14"/>
  <c r="X316" i="14" s="1"/>
  <c r="X441" i="14" s="1"/>
  <c r="X165" i="14"/>
  <c r="X167" i="14" s="1"/>
  <c r="W383" i="14"/>
  <c r="W384" i="14" s="1"/>
  <c r="W397" i="14" s="1"/>
  <c r="V260" i="14"/>
  <c r="V148" i="14"/>
  <c r="U455" i="14"/>
  <c r="V373" i="14"/>
  <c r="V438" i="14"/>
  <c r="V319" i="14"/>
  <c r="V444" i="14" s="1"/>
  <c r="V446" i="14" s="1"/>
  <c r="W253" i="14"/>
  <c r="U355" i="14"/>
  <c r="U356" i="14" s="1"/>
  <c r="U359" i="14" s="1"/>
  <c r="U367" i="14" s="1"/>
  <c r="W203" i="14" l="1"/>
  <c r="W259" i="14" s="1"/>
  <c r="V265" i="14"/>
  <c r="V205" i="14"/>
  <c r="X178" i="14"/>
  <c r="X362" i="14" s="1"/>
  <c r="X365" i="14" s="1"/>
  <c r="W452" i="14"/>
  <c r="W331" i="14"/>
  <c r="X380" i="14"/>
  <c r="X381" i="14" s="1"/>
  <c r="X391" i="14" s="1"/>
  <c r="V455" i="14"/>
  <c r="X345" i="14"/>
  <c r="X268" i="14"/>
  <c r="Y323" i="14"/>
  <c r="Y339" i="14"/>
  <c r="Y311" i="14"/>
  <c r="Y329" i="14"/>
  <c r="Y279" i="14"/>
  <c r="Z2" i="14"/>
  <c r="W438" i="14"/>
  <c r="W373" i="14"/>
  <c r="X306" i="14"/>
  <c r="X294" i="14"/>
  <c r="X286" i="14"/>
  <c r="X285" i="14"/>
  <c r="X305" i="14"/>
  <c r="X301" i="14"/>
  <c r="X307" i="14"/>
  <c r="X292" i="14"/>
  <c r="X287" i="14"/>
  <c r="X297" i="14"/>
  <c r="X295" i="14"/>
  <c r="X296" i="14"/>
  <c r="W255" i="14"/>
  <c r="Y482" i="14"/>
  <c r="Y465" i="14"/>
  <c r="Y382" i="14"/>
  <c r="Y412" i="14"/>
  <c r="Y411" i="14"/>
  <c r="Y379" i="14"/>
  <c r="Y341" i="14"/>
  <c r="Y251" i="14"/>
  <c r="Y237" i="14"/>
  <c r="Y236" i="14"/>
  <c r="Y128" i="14"/>
  <c r="Z190" i="14"/>
  <c r="Y228" i="14"/>
  <c r="Y186" i="14"/>
  <c r="Y363" i="14" s="1"/>
  <c r="Y151" i="14"/>
  <c r="Y241" i="14"/>
  <c r="Y188" i="14"/>
  <c r="Y101" i="14"/>
  <c r="Y318" i="14" s="1"/>
  <c r="Y443" i="14" s="1"/>
  <c r="Y211" i="14"/>
  <c r="Y122" i="14"/>
  <c r="Y171" i="14"/>
  <c r="Y110" i="14"/>
  <c r="Y87" i="14"/>
  <c r="Y314" i="14" s="1"/>
  <c r="Y439" i="14" s="1"/>
  <c r="Y160" i="14"/>
  <c r="Y134" i="14"/>
  <c r="Y107" i="14"/>
  <c r="Y166" i="14"/>
  <c r="Y168" i="14" s="1"/>
  <c r="Y96" i="14"/>
  <c r="Y317" i="14" s="1"/>
  <c r="Y442" i="14" s="1"/>
  <c r="Y224" i="14"/>
  <c r="Z1" i="14"/>
  <c r="Y162" i="14"/>
  <c r="Y80" i="14"/>
  <c r="Y234" i="14"/>
  <c r="Y105" i="14"/>
  <c r="Y315" i="14" s="1"/>
  <c r="Y440" i="14" s="1"/>
  <c r="Y92" i="14"/>
  <c r="Y316" i="14" s="1"/>
  <c r="Y441" i="14" s="1"/>
  <c r="Y174" i="14"/>
  <c r="Y175" i="14" s="1"/>
  <c r="Y165" i="14"/>
  <c r="Y167" i="14" s="1"/>
  <c r="Y215" i="14"/>
  <c r="Y220" i="14" s="1"/>
  <c r="Y191" i="14" s="1"/>
  <c r="Y193" i="14" s="1"/>
  <c r="Y364" i="14" s="1"/>
  <c r="W346" i="14"/>
  <c r="W352" i="14" s="1"/>
  <c r="W454" i="14"/>
  <c r="W325" i="14"/>
  <c r="W427" i="14"/>
  <c r="W269" i="14"/>
  <c r="W270" i="14" s="1"/>
  <c r="X344" i="14"/>
  <c r="X232" i="14"/>
  <c r="X383" i="14"/>
  <c r="X384" i="14" s="1"/>
  <c r="X397" i="14" s="1"/>
  <c r="X313" i="14"/>
  <c r="X108" i="14"/>
  <c r="X253" i="14"/>
  <c r="X203" i="14" l="1"/>
  <c r="X259" i="14" s="1"/>
  <c r="X346" i="14"/>
  <c r="X352" i="14" s="1"/>
  <c r="X355" i="14" s="1"/>
  <c r="X356" i="14" s="1"/>
  <c r="X359" i="14" s="1"/>
  <c r="X367" i="14" s="1"/>
  <c r="Y178" i="14"/>
  <c r="Y203" i="14" s="1"/>
  <c r="Y259" i="14" s="1"/>
  <c r="W455" i="14"/>
  <c r="X438" i="14"/>
  <c r="X319" i="14"/>
  <c r="X444" i="14" s="1"/>
  <c r="X446" i="14" s="1"/>
  <c r="Y344" i="14"/>
  <c r="Y232" i="14"/>
  <c r="W355" i="14"/>
  <c r="W356" i="14" s="1"/>
  <c r="W359" i="14" s="1"/>
  <c r="W367" i="14" s="1"/>
  <c r="Y253" i="14"/>
  <c r="X373" i="14"/>
  <c r="Z339" i="14"/>
  <c r="Z323" i="14"/>
  <c r="Z311" i="14"/>
  <c r="Z329" i="14"/>
  <c r="Z279" i="14"/>
  <c r="AA2" i="14"/>
  <c r="X454" i="14"/>
  <c r="X325" i="14"/>
  <c r="Y307" i="14"/>
  <c r="Y297" i="14"/>
  <c r="Y294" i="14"/>
  <c r="Y305" i="14"/>
  <c r="Y306" i="14"/>
  <c r="Y301" i="14"/>
  <c r="Y292" i="14"/>
  <c r="Y296" i="14"/>
  <c r="Y287" i="14"/>
  <c r="Y295" i="14"/>
  <c r="Y285" i="14"/>
  <c r="Y286" i="14"/>
  <c r="X255" i="14"/>
  <c r="Y383" i="14"/>
  <c r="Y384" i="14" s="1"/>
  <c r="Y397" i="14" s="1"/>
  <c r="X260" i="14"/>
  <c r="X148" i="14"/>
  <c r="Y345" i="14"/>
  <c r="Y268" i="14"/>
  <c r="Y380" i="14"/>
  <c r="Y381" i="14" s="1"/>
  <c r="Y391" i="14" s="1"/>
  <c r="X452" i="14"/>
  <c r="X331" i="14"/>
  <c r="Z482" i="14"/>
  <c r="Z465" i="14"/>
  <c r="Z412" i="14"/>
  <c r="Z411" i="14"/>
  <c r="Z382" i="14"/>
  <c r="Z379" i="14"/>
  <c r="Z341" i="14"/>
  <c r="Z224" i="14"/>
  <c r="Z241" i="14"/>
  <c r="Z237" i="14"/>
  <c r="Z211" i="14"/>
  <c r="AA190" i="14"/>
  <c r="Z228" i="14"/>
  <c r="Z188" i="14"/>
  <c r="Z171" i="14"/>
  <c r="Z122" i="14"/>
  <c r="Z110" i="14"/>
  <c r="Z87" i="14"/>
  <c r="Z314" i="14" s="1"/>
  <c r="Z439" i="14" s="1"/>
  <c r="Z134" i="14"/>
  <c r="Z107" i="14"/>
  <c r="Z166" i="14"/>
  <c r="Z168" i="14" s="1"/>
  <c r="Z128" i="14"/>
  <c r="Z96" i="14"/>
  <c r="Z317" i="14" s="1"/>
  <c r="Z442" i="14" s="1"/>
  <c r="AA1" i="14"/>
  <c r="Z101" i="14"/>
  <c r="Z318" i="14" s="1"/>
  <c r="Z443" i="14" s="1"/>
  <c r="Z186" i="14"/>
  <c r="Z363" i="14" s="1"/>
  <c r="Z151" i="14"/>
  <c r="Z162" i="14"/>
  <c r="Z80" i="14"/>
  <c r="Z234" i="14"/>
  <c r="Z251" i="14"/>
  <c r="Z105" i="14"/>
  <c r="Z315" i="14" s="1"/>
  <c r="Z440" i="14" s="1"/>
  <c r="Z92" i="14"/>
  <c r="Z316" i="14" s="1"/>
  <c r="Z441" i="14" s="1"/>
  <c r="Z174" i="14"/>
  <c r="Z175" i="14" s="1"/>
  <c r="Z165" i="14"/>
  <c r="Z167" i="14" s="1"/>
  <c r="Z236" i="14"/>
  <c r="Z215" i="14"/>
  <c r="Z220" i="14" s="1"/>
  <c r="Z191" i="14" s="1"/>
  <c r="Z193" i="14" s="1"/>
  <c r="Z364" i="14" s="1"/>
  <c r="Z160" i="14"/>
  <c r="X427" i="14"/>
  <c r="X269" i="14"/>
  <c r="X270" i="14" s="1"/>
  <c r="Y313" i="14"/>
  <c r="Y108" i="14"/>
  <c r="X205" i="14" l="1"/>
  <c r="X265" i="14"/>
  <c r="Y346" i="14"/>
  <c r="Y352" i="14" s="1"/>
  <c r="Y355" i="14" s="1"/>
  <c r="Y356" i="14" s="1"/>
  <c r="Y359" i="14" s="1"/>
  <c r="Y255" i="14"/>
  <c r="X455" i="14"/>
  <c r="Z178" i="14"/>
  <c r="Z203" i="14" s="1"/>
  <c r="Z259" i="14" s="1"/>
  <c r="Y362" i="14"/>
  <c r="Y365" i="14" s="1"/>
  <c r="Y438" i="14"/>
  <c r="Y319" i="14"/>
  <c r="Y444" i="14" s="1"/>
  <c r="Y446" i="14" s="1"/>
  <c r="Z253" i="14"/>
  <c r="Z313" i="14"/>
  <c r="Z108" i="14"/>
  <c r="Z344" i="14"/>
  <c r="Z232" i="14"/>
  <c r="Y452" i="14"/>
  <c r="Y331" i="14"/>
  <c r="Y454" i="14"/>
  <c r="Y325" i="14"/>
  <c r="AA339" i="14"/>
  <c r="AA311" i="14"/>
  <c r="AA329" i="14"/>
  <c r="AA279" i="14"/>
  <c r="AA323" i="14"/>
  <c r="AB2" i="14"/>
  <c r="Z380" i="14"/>
  <c r="Z381" i="14" s="1"/>
  <c r="Z391" i="14" s="1"/>
  <c r="Z305" i="14"/>
  <c r="Z306" i="14"/>
  <c r="Z285" i="14"/>
  <c r="Z301" i="14"/>
  <c r="Z296" i="14"/>
  <c r="Z286" i="14"/>
  <c r="Z307" i="14"/>
  <c r="Z294" i="14"/>
  <c r="Z292" i="14"/>
  <c r="Z295" i="14"/>
  <c r="Z297" i="14"/>
  <c r="Z287" i="14"/>
  <c r="AA465" i="14"/>
  <c r="AA382" i="14"/>
  <c r="AA412" i="14"/>
  <c r="AA411" i="14"/>
  <c r="AA482" i="14"/>
  <c r="AA379" i="14"/>
  <c r="AA341" i="14"/>
  <c r="AA251" i="14"/>
  <c r="AA215" i="14"/>
  <c r="AA220" i="14" s="1"/>
  <c r="AA191" i="14" s="1"/>
  <c r="AA193" i="14" s="1"/>
  <c r="AA364" i="14" s="1"/>
  <c r="AA236" i="14"/>
  <c r="AA237" i="14"/>
  <c r="AA228" i="14"/>
  <c r="AA188" i="14"/>
  <c r="AA171" i="14"/>
  <c r="AA211" i="14"/>
  <c r="AA186" i="14"/>
  <c r="AA363" i="14" s="1"/>
  <c r="AA151" i="14"/>
  <c r="AA166" i="14"/>
  <c r="AA168" i="14" s="1"/>
  <c r="AA134" i="14"/>
  <c r="AA122" i="14"/>
  <c r="AA110" i="14"/>
  <c r="AA87" i="14"/>
  <c r="AA314" i="14" s="1"/>
  <c r="AA439" i="14" s="1"/>
  <c r="AA107" i="14"/>
  <c r="AB1" i="14"/>
  <c r="AA128" i="14"/>
  <c r="AA96" i="14"/>
  <c r="AA317" i="14" s="1"/>
  <c r="AA442" i="14" s="1"/>
  <c r="AA224" i="14"/>
  <c r="AA162" i="14"/>
  <c r="AA234" i="14"/>
  <c r="AA105" i="14"/>
  <c r="AA315" i="14" s="1"/>
  <c r="AA440" i="14" s="1"/>
  <c r="AA92" i="14"/>
  <c r="AA316" i="14" s="1"/>
  <c r="AA441" i="14" s="1"/>
  <c r="AB190" i="14"/>
  <c r="AA174" i="14"/>
  <c r="AA175" i="14" s="1"/>
  <c r="AA165" i="14"/>
  <c r="AA167" i="14" s="1"/>
  <c r="AA241" i="14"/>
  <c r="AA160" i="14"/>
  <c r="AA80" i="14"/>
  <c r="AA101" i="14"/>
  <c r="AA318" i="14" s="1"/>
  <c r="AA443" i="14" s="1"/>
  <c r="Y373" i="14"/>
  <c r="Y427" i="14"/>
  <c r="Y269" i="14"/>
  <c r="Y270" i="14" s="1"/>
  <c r="Y260" i="14"/>
  <c r="Y265" i="14" s="1"/>
  <c r="Y148" i="14"/>
  <c r="Y205" i="14" s="1"/>
  <c r="Z345" i="14"/>
  <c r="Z268" i="14"/>
  <c r="Z383" i="14"/>
  <c r="Z384" i="14" s="1"/>
  <c r="Z397" i="14" s="1"/>
  <c r="Z362" i="14" l="1"/>
  <c r="Z365" i="14" s="1"/>
  <c r="AA178" i="14"/>
  <c r="AA362" i="14" s="1"/>
  <c r="AA365" i="14" s="1"/>
  <c r="Y367" i="14"/>
  <c r="AA380" i="14"/>
  <c r="AA381" i="14" s="1"/>
  <c r="AA391" i="14" s="1"/>
  <c r="AB465" i="14"/>
  <c r="AB412" i="14"/>
  <c r="AB411" i="14"/>
  <c r="AB482" i="14"/>
  <c r="AB382" i="14"/>
  <c r="AB341" i="14"/>
  <c r="AB379" i="14"/>
  <c r="AB251" i="14"/>
  <c r="AB241" i="14"/>
  <c r="AB237" i="14"/>
  <c r="AB236" i="14"/>
  <c r="AB234" i="14"/>
  <c r="AB228" i="14"/>
  <c r="AB188" i="14"/>
  <c r="AB171" i="14"/>
  <c r="AB211" i="14"/>
  <c r="AB186" i="14"/>
  <c r="AB363" i="14" s="1"/>
  <c r="AB151" i="14"/>
  <c r="AB122" i="14"/>
  <c r="AB224" i="14"/>
  <c r="AB165" i="14"/>
  <c r="AB167" i="14" s="1"/>
  <c r="AB107" i="14"/>
  <c r="AB96" i="14"/>
  <c r="AB317" i="14" s="1"/>
  <c r="AB442" i="14" s="1"/>
  <c r="AC1" i="14"/>
  <c r="AB110" i="14"/>
  <c r="AB134" i="14"/>
  <c r="AB128" i="14"/>
  <c r="AB87" i="14"/>
  <c r="AB314" i="14" s="1"/>
  <c r="AB439" i="14" s="1"/>
  <c r="AB166" i="14"/>
  <c r="AB168" i="14" s="1"/>
  <c r="AB162" i="14"/>
  <c r="AB105" i="14"/>
  <c r="AB315" i="14" s="1"/>
  <c r="AB440" i="14" s="1"/>
  <c r="AB92" i="14"/>
  <c r="AB316" i="14" s="1"/>
  <c r="AB441" i="14" s="1"/>
  <c r="AC190" i="14"/>
  <c r="AB174" i="14"/>
  <c r="AB175" i="14" s="1"/>
  <c r="AB160" i="14"/>
  <c r="AB80" i="14"/>
  <c r="AB215" i="14"/>
  <c r="AB220" i="14" s="1"/>
  <c r="AB191" i="14" s="1"/>
  <c r="AB193" i="14" s="1"/>
  <c r="AB364" i="14" s="1"/>
  <c r="AB101" i="14"/>
  <c r="AB318" i="14" s="1"/>
  <c r="AB443" i="14" s="1"/>
  <c r="AA313" i="14"/>
  <c r="AA108" i="14"/>
  <c r="Z427" i="14"/>
  <c r="Z269" i="14"/>
  <c r="Z270" i="14" s="1"/>
  <c r="AA345" i="14"/>
  <c r="AA268" i="14"/>
  <c r="AA253" i="14"/>
  <c r="Z452" i="14"/>
  <c r="Z331" i="14"/>
  <c r="Z438" i="14"/>
  <c r="Z319" i="14"/>
  <c r="Z444" i="14" s="1"/>
  <c r="Z446" i="14" s="1"/>
  <c r="Z325" i="14"/>
  <c r="Z454" i="14"/>
  <c r="Y455" i="14"/>
  <c r="Z255" i="14"/>
  <c r="Z260" i="14"/>
  <c r="Z265" i="14" s="1"/>
  <c r="Z148" i="14"/>
  <c r="Z205" i="14" s="1"/>
  <c r="Z373" i="14"/>
  <c r="AA383" i="14"/>
  <c r="AA384" i="14" s="1"/>
  <c r="AA397" i="14" s="1"/>
  <c r="Z346" i="14"/>
  <c r="Z352" i="14" s="1"/>
  <c r="AA344" i="14"/>
  <c r="AA232" i="14"/>
  <c r="AA286" i="14"/>
  <c r="AA306" i="14"/>
  <c r="AA285" i="14"/>
  <c r="AA301" i="14"/>
  <c r="AA292" i="14"/>
  <c r="AA307" i="14"/>
  <c r="AA305" i="14"/>
  <c r="AA287" i="14"/>
  <c r="AA295" i="14"/>
  <c r="AA297" i="14"/>
  <c r="AA296" i="14"/>
  <c r="AA294" i="14"/>
  <c r="AB339" i="14"/>
  <c r="AB329" i="14"/>
  <c r="AB323" i="14"/>
  <c r="AB311" i="14"/>
  <c r="AB279" i="14"/>
  <c r="AC2" i="14"/>
  <c r="AA203" i="14" l="1"/>
  <c r="AA259" i="14" s="1"/>
  <c r="AA346" i="14"/>
  <c r="AA352" i="14" s="1"/>
  <c r="AA355" i="14" s="1"/>
  <c r="AA356" i="14" s="1"/>
  <c r="AA359" i="14" s="1"/>
  <c r="AA367" i="14" s="1"/>
  <c r="AB253" i="14"/>
  <c r="AB427" i="14" s="1"/>
  <c r="AA255" i="14"/>
  <c r="Z455" i="14"/>
  <c r="AB178" i="14"/>
  <c r="AB203" i="14" s="1"/>
  <c r="AB259" i="14" s="1"/>
  <c r="AA438" i="14"/>
  <c r="AA319" i="14"/>
  <c r="AA444" i="14" s="1"/>
  <c r="AA446" i="14" s="1"/>
  <c r="Z355" i="14"/>
  <c r="Z356" i="14" s="1"/>
  <c r="Z359" i="14" s="1"/>
  <c r="Z367" i="14" s="1"/>
  <c r="AB344" i="14"/>
  <c r="AB232" i="14"/>
  <c r="AA454" i="14"/>
  <c r="AA325" i="14"/>
  <c r="AA452" i="14"/>
  <c r="AA331" i="14"/>
  <c r="AB380" i="14"/>
  <c r="AB381" i="14" s="1"/>
  <c r="AB391" i="14" s="1"/>
  <c r="AC339" i="14"/>
  <c r="AC329" i="14"/>
  <c r="AC323" i="14"/>
  <c r="AC311" i="14"/>
  <c r="AC279" i="14"/>
  <c r="AD2" i="14"/>
  <c r="AA427" i="14"/>
  <c r="AA269" i="14"/>
  <c r="AA270" i="14" s="1"/>
  <c r="AA260" i="14"/>
  <c r="AA148" i="14"/>
  <c r="AB313" i="14"/>
  <c r="AB108" i="14"/>
  <c r="AC482" i="14"/>
  <c r="AC412" i="14"/>
  <c r="AC411" i="14"/>
  <c r="AC465" i="14"/>
  <c r="AC382" i="14"/>
  <c r="AC379" i="14"/>
  <c r="AC341" i="14"/>
  <c r="AC241" i="14"/>
  <c r="AC236" i="14"/>
  <c r="AC234" i="14"/>
  <c r="AC228" i="14"/>
  <c r="AC211" i="14"/>
  <c r="AC186" i="14"/>
  <c r="AC151" i="14"/>
  <c r="AC166" i="14"/>
  <c r="AC168" i="14" s="1"/>
  <c r="AC134" i="14"/>
  <c r="AC224" i="14"/>
  <c r="AC260" i="14"/>
  <c r="AC128" i="14"/>
  <c r="AC96" i="14"/>
  <c r="AC317" i="14" s="1"/>
  <c r="AC442" i="14" s="1"/>
  <c r="AD1" i="14"/>
  <c r="AC171" i="14"/>
  <c r="AC162" i="14"/>
  <c r="AC237" i="14"/>
  <c r="AC105" i="14"/>
  <c r="AC315" i="14" s="1"/>
  <c r="AC440" i="14" s="1"/>
  <c r="AC92" i="14"/>
  <c r="AC316" i="14" s="1"/>
  <c r="AC441" i="14" s="1"/>
  <c r="AC122" i="14"/>
  <c r="AC107" i="14"/>
  <c r="AD190" i="14"/>
  <c r="AC174" i="14"/>
  <c r="AC175" i="14" s="1"/>
  <c r="AC188" i="14"/>
  <c r="AC251" i="14"/>
  <c r="AC165" i="14"/>
  <c r="AC167" i="14" s="1"/>
  <c r="AC160" i="14"/>
  <c r="AC80" i="14"/>
  <c r="AC110" i="14"/>
  <c r="AC215" i="14"/>
  <c r="AC220" i="14" s="1"/>
  <c r="AC191" i="14" s="1"/>
  <c r="AC193" i="14" s="1"/>
  <c r="AC364" i="14" s="1"/>
  <c r="AC101" i="14"/>
  <c r="AC318" i="14" s="1"/>
  <c r="AC443" i="14" s="1"/>
  <c r="AC87" i="14"/>
  <c r="AC314" i="14" s="1"/>
  <c r="AC439" i="14" s="1"/>
  <c r="AB383" i="14"/>
  <c r="AB384" i="14" s="1"/>
  <c r="AB397" i="14" s="1"/>
  <c r="AB305" i="14"/>
  <c r="AB301" i="14"/>
  <c r="AB292" i="14"/>
  <c r="AB307" i="14"/>
  <c r="AB286" i="14"/>
  <c r="AB294" i="14"/>
  <c r="AB306" i="14"/>
  <c r="AB295" i="14"/>
  <c r="AB297" i="14"/>
  <c r="AB285" i="14"/>
  <c r="AB287" i="14"/>
  <c r="AB296" i="14"/>
  <c r="AA373" i="14"/>
  <c r="AB345" i="14"/>
  <c r="AB268" i="14"/>
  <c r="AA205" i="14" l="1"/>
  <c r="AA265" i="14"/>
  <c r="AC178" i="14"/>
  <c r="AC362" i="14" s="1"/>
  <c r="AB362" i="14"/>
  <c r="AB365" i="14" s="1"/>
  <c r="AB269" i="14"/>
  <c r="AB270" i="14" s="1"/>
  <c r="AB255" i="14"/>
  <c r="AB454" i="14"/>
  <c r="AB325" i="14"/>
  <c r="AB452" i="14"/>
  <c r="AB331" i="14"/>
  <c r="AB346" i="14"/>
  <c r="AB352" i="14" s="1"/>
  <c r="AB260" i="14"/>
  <c r="AB265" i="14" s="1"/>
  <c r="AB148" i="14"/>
  <c r="AB205" i="14" s="1"/>
  <c r="AD329" i="14"/>
  <c r="AD339" i="14"/>
  <c r="AD311" i="14"/>
  <c r="AD323" i="14"/>
  <c r="AD279" i="14"/>
  <c r="AE2" i="14"/>
  <c r="AB438" i="14"/>
  <c r="AB319" i="14"/>
  <c r="AB444" i="14" s="1"/>
  <c r="AB446" i="14" s="1"/>
  <c r="AC306" i="14"/>
  <c r="AC301" i="14"/>
  <c r="AC296" i="14"/>
  <c r="AC307" i="14"/>
  <c r="AC297" i="14"/>
  <c r="AC305" i="14"/>
  <c r="AC294" i="14"/>
  <c r="AC287" i="14"/>
  <c r="AC285" i="14"/>
  <c r="AC292" i="14"/>
  <c r="AC295" i="14"/>
  <c r="AC286" i="14"/>
  <c r="AB373" i="14"/>
  <c r="AC344" i="14"/>
  <c r="AC232" i="14"/>
  <c r="AC380" i="14"/>
  <c r="AC381" i="14" s="1"/>
  <c r="AC391" i="14" s="1"/>
  <c r="AC383" i="14"/>
  <c r="AC384" i="14" s="1"/>
  <c r="AC397" i="14" s="1"/>
  <c r="AC325" i="14" s="1"/>
  <c r="AC345" i="14"/>
  <c r="AC268" i="14"/>
  <c r="AC270" i="14" s="1"/>
  <c r="AD482" i="14"/>
  <c r="AD412" i="14"/>
  <c r="AD411" i="14"/>
  <c r="AD465" i="14"/>
  <c r="AD382" i="14"/>
  <c r="AD341" i="14"/>
  <c r="AD379" i="14"/>
  <c r="AD215" i="14"/>
  <c r="AD220" i="14" s="1"/>
  <c r="AD191" i="14" s="1"/>
  <c r="AD193" i="14" s="1"/>
  <c r="AD364" i="14" s="1"/>
  <c r="AD237" i="14"/>
  <c r="AD234" i="14"/>
  <c r="AD228" i="14"/>
  <c r="AD166" i="14"/>
  <c r="AD168" i="14" s="1"/>
  <c r="AD224" i="14"/>
  <c r="AD165" i="14"/>
  <c r="AD167" i="14" s="1"/>
  <c r="AD174" i="14"/>
  <c r="AD175" i="14" s="1"/>
  <c r="AD211" i="14"/>
  <c r="AD171" i="14"/>
  <c r="AD134" i="14"/>
  <c r="AE1" i="14"/>
  <c r="AD162" i="14"/>
  <c r="AD128" i="14"/>
  <c r="AD186" i="14"/>
  <c r="AD151" i="14"/>
  <c r="AD105" i="14"/>
  <c r="AD315" i="14" s="1"/>
  <c r="AD440" i="14" s="1"/>
  <c r="AD92" i="14"/>
  <c r="AD316" i="14" s="1"/>
  <c r="AD441" i="14" s="1"/>
  <c r="AE190" i="14"/>
  <c r="AD251" i="14"/>
  <c r="AD107" i="14"/>
  <c r="AD96" i="14"/>
  <c r="AD317" i="14" s="1"/>
  <c r="AD442" i="14" s="1"/>
  <c r="AD160" i="14"/>
  <c r="AD80" i="14"/>
  <c r="AD260" i="14"/>
  <c r="AD101" i="14"/>
  <c r="AD318" i="14" s="1"/>
  <c r="AD443" i="14" s="1"/>
  <c r="AD188" i="14"/>
  <c r="AD236" i="14"/>
  <c r="AD110" i="14"/>
  <c r="AD87" i="14"/>
  <c r="AD314" i="14" s="1"/>
  <c r="AD439" i="14" s="1"/>
  <c r="AD241" i="14"/>
  <c r="AD122" i="14"/>
  <c r="AA455" i="14"/>
  <c r="AC253" i="14"/>
  <c r="AC427" i="14" s="1"/>
  <c r="AC313" i="14"/>
  <c r="AC108" i="14"/>
  <c r="AC148" i="14" s="1"/>
  <c r="AC363" i="14"/>
  <c r="AC259" i="14"/>
  <c r="AC265" i="14" s="1"/>
  <c r="AC203" i="14" l="1"/>
  <c r="AC205" i="14" s="1"/>
  <c r="AB495" i="14"/>
  <c r="AC346" i="14"/>
  <c r="AC352" i="14" s="1"/>
  <c r="AC355" i="14" s="1"/>
  <c r="AC356" i="14" s="1"/>
  <c r="AC359" i="14" s="1"/>
  <c r="AB455" i="14"/>
  <c r="AD253" i="14"/>
  <c r="AD427" i="14" s="1"/>
  <c r="AC255" i="14"/>
  <c r="AD178" i="14"/>
  <c r="AD362" i="14" s="1"/>
  <c r="AE482" i="14"/>
  <c r="AE465" i="14"/>
  <c r="AE411" i="14"/>
  <c r="AE382" i="14"/>
  <c r="AE412" i="14"/>
  <c r="AE341" i="14"/>
  <c r="AE379" i="14"/>
  <c r="AE251" i="14"/>
  <c r="AE237" i="14"/>
  <c r="AE236" i="14"/>
  <c r="AE224" i="14"/>
  <c r="AE241" i="14"/>
  <c r="AE234" i="14"/>
  <c r="AE166" i="14"/>
  <c r="AE168" i="14" s="1"/>
  <c r="AE134" i="14"/>
  <c r="AE165" i="14"/>
  <c r="AE167" i="14" s="1"/>
  <c r="AE162" i="14"/>
  <c r="AF1" i="14"/>
  <c r="AE186" i="14"/>
  <c r="AE151" i="14"/>
  <c r="AE105" i="14"/>
  <c r="AE315" i="14" s="1"/>
  <c r="AE440" i="14" s="1"/>
  <c r="AE92" i="14"/>
  <c r="AE316" i="14" s="1"/>
  <c r="AE441" i="14" s="1"/>
  <c r="AF190" i="14"/>
  <c r="AE174" i="14"/>
  <c r="AE175" i="14" s="1"/>
  <c r="AE160" i="14"/>
  <c r="AE80" i="14"/>
  <c r="AE101" i="14"/>
  <c r="AE318" i="14" s="1"/>
  <c r="AE443" i="14" s="1"/>
  <c r="AE215" i="14"/>
  <c r="AE220" i="14" s="1"/>
  <c r="AE191" i="14" s="1"/>
  <c r="AE193" i="14" s="1"/>
  <c r="AE364" i="14" s="1"/>
  <c r="AE260" i="14"/>
  <c r="AE96" i="14"/>
  <c r="AE317" i="14" s="1"/>
  <c r="AE442" i="14" s="1"/>
  <c r="AE211" i="14"/>
  <c r="AE228" i="14"/>
  <c r="AE110" i="14"/>
  <c r="AE87" i="14"/>
  <c r="AE314" i="14" s="1"/>
  <c r="AE439" i="14" s="1"/>
  <c r="AE171" i="14"/>
  <c r="AE188" i="14"/>
  <c r="AE122" i="14"/>
  <c r="AE107" i="14"/>
  <c r="AE128" i="14"/>
  <c r="AD380" i="14"/>
  <c r="AD381" i="14" s="1"/>
  <c r="AD391" i="14" s="1"/>
  <c r="AE339" i="14"/>
  <c r="AE311" i="14"/>
  <c r="AE329" i="14"/>
  <c r="AE323" i="14"/>
  <c r="AE279" i="14"/>
  <c r="AF2" i="14"/>
  <c r="AD307" i="14"/>
  <c r="AD301" i="14"/>
  <c r="AD297" i="14"/>
  <c r="AD305" i="14"/>
  <c r="AD287" i="14"/>
  <c r="AD306" i="14"/>
  <c r="AD295" i="14"/>
  <c r="AD292" i="14"/>
  <c r="AD285" i="14"/>
  <c r="AD296" i="14"/>
  <c r="AD294" i="14"/>
  <c r="AD286" i="14"/>
  <c r="AD313" i="14"/>
  <c r="AD108" i="14"/>
  <c r="AD148" i="14" s="1"/>
  <c r="AD344" i="14"/>
  <c r="AD232" i="14"/>
  <c r="AC365" i="14"/>
  <c r="AC438" i="14"/>
  <c r="AC319" i="14"/>
  <c r="AD383" i="14"/>
  <c r="AD384" i="14" s="1"/>
  <c r="AD397" i="14" s="1"/>
  <c r="AD325" i="14" s="1"/>
  <c r="AC452" i="14"/>
  <c r="AC455" i="14" s="1"/>
  <c r="AC331" i="14"/>
  <c r="AC373" i="14"/>
  <c r="AB355" i="14"/>
  <c r="AB356" i="14" s="1"/>
  <c r="AB359" i="14" s="1"/>
  <c r="AB367" i="14" s="1"/>
  <c r="AD363" i="14"/>
  <c r="AD259" i="14"/>
  <c r="AD265" i="14" s="1"/>
  <c r="AD345" i="14"/>
  <c r="AD268" i="14"/>
  <c r="AD270" i="14" s="1"/>
  <c r="AC367" i="14" l="1"/>
  <c r="AC495" i="14"/>
  <c r="AD346" i="14"/>
  <c r="AD352" i="14" s="1"/>
  <c r="AD355" i="14" s="1"/>
  <c r="AD356" i="14" s="1"/>
  <c r="AD359" i="14" s="1"/>
  <c r="AE253" i="14"/>
  <c r="AE427" i="14" s="1"/>
  <c r="AD255" i="14"/>
  <c r="AE178" i="14"/>
  <c r="AE362" i="14" s="1"/>
  <c r="AD203" i="14"/>
  <c r="AD205" i="14" s="1"/>
  <c r="AE363" i="14"/>
  <c r="AE259" i="14"/>
  <c r="AE265" i="14" s="1"/>
  <c r="AD438" i="14"/>
  <c r="AD319" i="14"/>
  <c r="AD452" i="14"/>
  <c r="AD455" i="14" s="1"/>
  <c r="AD331" i="14"/>
  <c r="AE313" i="14"/>
  <c r="AE108" i="14"/>
  <c r="AE148" i="14" s="1"/>
  <c r="AE380" i="14"/>
  <c r="AE381" i="14" s="1"/>
  <c r="AE391" i="14" s="1"/>
  <c r="AD373" i="14"/>
  <c r="AF482" i="14"/>
  <c r="AF465" i="14"/>
  <c r="AF379" i="14"/>
  <c r="AF382" i="14"/>
  <c r="AF412" i="14"/>
  <c r="AF411" i="14"/>
  <c r="AF341" i="14"/>
  <c r="AF251" i="14"/>
  <c r="AF260" i="14"/>
  <c r="AF234" i="14"/>
  <c r="AF228" i="14"/>
  <c r="AF224" i="14"/>
  <c r="AF165" i="14"/>
  <c r="AF167" i="14" s="1"/>
  <c r="AF174" i="14"/>
  <c r="AF175" i="14" s="1"/>
  <c r="AF236" i="14"/>
  <c r="AF160" i="14"/>
  <c r="AF162" i="14"/>
  <c r="AF105" i="14"/>
  <c r="AF315" i="14" s="1"/>
  <c r="AF440" i="14" s="1"/>
  <c r="AF92" i="14"/>
  <c r="AF316" i="14" s="1"/>
  <c r="AF441" i="14" s="1"/>
  <c r="AF186" i="14"/>
  <c r="AF166" i="14"/>
  <c r="AF168" i="14" s="1"/>
  <c r="AF151" i="14"/>
  <c r="AG190" i="14"/>
  <c r="AF237" i="14"/>
  <c r="AF80" i="14"/>
  <c r="AF101" i="14"/>
  <c r="AF318" i="14" s="1"/>
  <c r="AF443" i="14" s="1"/>
  <c r="AG1" i="14"/>
  <c r="AF215" i="14"/>
  <c r="AF220" i="14" s="1"/>
  <c r="AF191" i="14" s="1"/>
  <c r="AF193" i="14" s="1"/>
  <c r="AF364" i="14" s="1"/>
  <c r="AF134" i="14"/>
  <c r="AF110" i="14"/>
  <c r="AF87" i="14"/>
  <c r="AF314" i="14" s="1"/>
  <c r="AF439" i="14" s="1"/>
  <c r="AF171" i="14"/>
  <c r="AF188" i="14"/>
  <c r="AF122" i="14"/>
  <c r="AF107" i="14"/>
  <c r="AF128" i="14"/>
  <c r="AF96" i="14"/>
  <c r="AF317" i="14" s="1"/>
  <c r="AF442" i="14" s="1"/>
  <c r="AF211" i="14"/>
  <c r="AF339" i="14"/>
  <c r="AF329" i="14"/>
  <c r="AF323" i="14"/>
  <c r="AF311" i="14"/>
  <c r="AF279" i="14"/>
  <c r="AG2" i="14"/>
  <c r="AE344" i="14"/>
  <c r="AE232" i="14"/>
  <c r="AE305" i="14"/>
  <c r="AE307" i="14"/>
  <c r="AE297" i="14"/>
  <c r="AE296" i="14"/>
  <c r="AE287" i="14"/>
  <c r="AE306" i="14"/>
  <c r="AE301" i="14"/>
  <c r="AE285" i="14"/>
  <c r="AE286" i="14"/>
  <c r="AE292" i="14"/>
  <c r="AE295" i="14"/>
  <c r="AE294" i="14"/>
  <c r="AE345" i="14"/>
  <c r="AE268" i="14"/>
  <c r="AE270" i="14" s="1"/>
  <c r="AE383" i="14"/>
  <c r="AE384" i="14" s="1"/>
  <c r="AE397" i="14" s="1"/>
  <c r="AE325" i="14" s="1"/>
  <c r="AD365" i="14"/>
  <c r="AD367" i="14" l="1"/>
  <c r="AE203" i="14"/>
  <c r="AE205" i="14" s="1"/>
  <c r="AD495" i="14"/>
  <c r="AE373" i="14"/>
  <c r="AE346" i="14"/>
  <c r="AE352" i="14" s="1"/>
  <c r="AE355" i="14" s="1"/>
  <c r="AE356" i="14" s="1"/>
  <c r="AE359" i="14" s="1"/>
  <c r="AE255" i="14"/>
  <c r="AF178" i="14"/>
  <c r="AF362" i="14" s="1"/>
  <c r="AF313" i="14"/>
  <c r="AF108" i="14"/>
  <c r="AF148" i="14" s="1"/>
  <c r="AG311" i="14"/>
  <c r="AG329" i="14"/>
  <c r="AG323" i="14"/>
  <c r="AG339" i="14"/>
  <c r="AG279" i="14"/>
  <c r="AF253" i="14"/>
  <c r="AF427" i="14" s="1"/>
  <c r="AE452" i="14"/>
  <c r="AE455" i="14" s="1"/>
  <c r="AE331" i="14"/>
  <c r="AF285" i="14"/>
  <c r="AF307" i="14"/>
  <c r="AF297" i="14"/>
  <c r="AF305" i="14"/>
  <c r="AF296" i="14"/>
  <c r="AF295" i="14"/>
  <c r="AF301" i="14"/>
  <c r="AF292" i="14"/>
  <c r="AF286" i="14"/>
  <c r="AF294" i="14"/>
  <c r="AF306" i="14"/>
  <c r="AF287" i="14"/>
  <c r="AG482" i="14"/>
  <c r="AG465" i="14"/>
  <c r="AG382" i="14"/>
  <c r="AG412" i="14"/>
  <c r="AG379" i="14"/>
  <c r="AG411" i="14"/>
  <c r="AG341" i="14"/>
  <c r="AG211" i="14"/>
  <c r="AG236" i="14"/>
  <c r="AG224" i="14"/>
  <c r="AG251" i="14"/>
  <c r="AG174" i="14"/>
  <c r="AG175" i="14" s="1"/>
  <c r="AG162" i="14"/>
  <c r="AG237" i="14"/>
  <c r="AG215" i="14"/>
  <c r="AG220" i="14" s="1"/>
  <c r="AG260" i="14"/>
  <c r="AG128" i="14"/>
  <c r="AG186" i="14"/>
  <c r="AG166" i="14"/>
  <c r="AG168" i="14" s="1"/>
  <c r="AG151" i="14"/>
  <c r="AG105" i="14"/>
  <c r="AG315" i="14" s="1"/>
  <c r="AG440" i="14" s="1"/>
  <c r="AG92" i="14"/>
  <c r="AG316" i="14" s="1"/>
  <c r="AG441" i="14" s="1"/>
  <c r="AG80" i="14"/>
  <c r="AG234" i="14"/>
  <c r="AG160" i="14"/>
  <c r="AG101" i="14"/>
  <c r="AG318" i="14" s="1"/>
  <c r="AG443" i="14" s="1"/>
  <c r="AG165" i="14"/>
  <c r="AG167" i="14" s="1"/>
  <c r="AG134" i="14"/>
  <c r="AG110" i="14"/>
  <c r="AG87" i="14"/>
  <c r="AG314" i="14" s="1"/>
  <c r="AG439" i="14" s="1"/>
  <c r="AG228" i="14"/>
  <c r="AG188" i="14"/>
  <c r="AG122" i="14"/>
  <c r="AG107" i="14"/>
  <c r="AG96" i="14"/>
  <c r="AG317" i="14" s="1"/>
  <c r="AG442" i="14" s="1"/>
  <c r="AG171" i="14"/>
  <c r="AE438" i="14"/>
  <c r="AE319" i="14"/>
  <c r="AF383" i="14"/>
  <c r="AF384" i="14" s="1"/>
  <c r="AF397" i="14" s="1"/>
  <c r="AF325" i="14" s="1"/>
  <c r="AE365" i="14"/>
  <c r="AF363" i="14"/>
  <c r="AF259" i="14"/>
  <c r="AF265" i="14" s="1"/>
  <c r="AF344" i="14"/>
  <c r="AF232" i="14"/>
  <c r="AF345" i="14"/>
  <c r="AF268" i="14"/>
  <c r="AF270" i="14" s="1"/>
  <c r="AF380" i="14"/>
  <c r="AF381" i="14" s="1"/>
  <c r="AF391" i="14" s="1"/>
  <c r="AE367" i="14" l="1"/>
  <c r="AF373" i="14"/>
  <c r="AE495" i="14"/>
  <c r="AG253" i="14"/>
  <c r="AG427" i="14" s="1"/>
  <c r="AF255" i="14"/>
  <c r="AG178" i="14"/>
  <c r="AG362" i="14" s="1"/>
  <c r="AF203" i="14"/>
  <c r="AF205" i="14" s="1"/>
  <c r="AF452" i="14"/>
  <c r="AF455" i="14" s="1"/>
  <c r="AF331" i="14"/>
  <c r="AG363" i="14"/>
  <c r="AG259" i="14"/>
  <c r="AG265" i="14" s="1"/>
  <c r="AG345" i="14"/>
  <c r="AG268" i="14"/>
  <c r="AG270" i="14" s="1"/>
  <c r="AG191" i="14"/>
  <c r="AG193" i="14" s="1"/>
  <c r="AG364" i="14" s="1"/>
  <c r="L485" i="14"/>
  <c r="AG344" i="14"/>
  <c r="AG232" i="14"/>
  <c r="AF438" i="14"/>
  <c r="AF319" i="14"/>
  <c r="AG380" i="14"/>
  <c r="AG381" i="14" s="1"/>
  <c r="AG391" i="14" s="1"/>
  <c r="AG383" i="14"/>
  <c r="AG384" i="14" s="1"/>
  <c r="AG397" i="14" s="1"/>
  <c r="AG325" i="14" s="1"/>
  <c r="AF365" i="14"/>
  <c r="AG305" i="14"/>
  <c r="AG295" i="14"/>
  <c r="AG292" i="14"/>
  <c r="AG306" i="14"/>
  <c r="AG297" i="14"/>
  <c r="AG307" i="14"/>
  <c r="AG296" i="14"/>
  <c r="AG287" i="14"/>
  <c r="AG285" i="14"/>
  <c r="AG286" i="14"/>
  <c r="AG294" i="14"/>
  <c r="AG301" i="14"/>
  <c r="AF346" i="14"/>
  <c r="AF352" i="14" s="1"/>
  <c r="AG313" i="14"/>
  <c r="AG108" i="14"/>
  <c r="AG148" i="14" s="1"/>
  <c r="AG373" i="14" l="1"/>
  <c r="AG255" i="14"/>
  <c r="AF495" i="14"/>
  <c r="AG203" i="14"/>
  <c r="AG205" i="14" s="1"/>
  <c r="AG452" i="14"/>
  <c r="AG455" i="14" s="1"/>
  <c r="AG331" i="14"/>
  <c r="AG365" i="14"/>
  <c r="AF355" i="14"/>
  <c r="AF356" i="14" s="1"/>
  <c r="AF359" i="14" s="1"/>
  <c r="AF367" i="14" s="1"/>
  <c r="AG438" i="14"/>
  <c r="AG319" i="14"/>
  <c r="AG346" i="14"/>
  <c r="AG352" i="14" s="1"/>
  <c r="AG355" i="14" l="1"/>
  <c r="AG356" i="14" s="1"/>
  <c r="AG359" i="14" s="1"/>
  <c r="AG367" i="14" s="1"/>
  <c r="D35" i="1" l="1"/>
  <c r="G45" i="6" s="1"/>
  <c r="K45" i="6" s="1"/>
  <c r="AD5" i="11"/>
  <c r="D5" i="11"/>
  <c r="D20" i="11"/>
  <c r="C26" i="2" l="1"/>
  <c r="C25" i="2"/>
  <c r="AC24" i="11" l="1"/>
  <c r="AE10" i="11"/>
  <c r="AD9" i="11"/>
  <c r="AD11" i="11"/>
  <c r="AD12" i="11"/>
  <c r="AD13" i="11"/>
  <c r="AD14" i="11"/>
  <c r="AD15" i="11"/>
  <c r="AD16" i="11"/>
  <c r="AD17" i="11"/>
  <c r="AD18" i="11"/>
  <c r="AD19" i="11"/>
  <c r="AD20" i="11"/>
  <c r="AD21" i="11"/>
  <c r="AD22" i="11"/>
  <c r="AD23" i="11"/>
  <c r="AC9" i="11"/>
  <c r="AC11" i="11"/>
  <c r="AC12" i="11"/>
  <c r="AC13" i="11"/>
  <c r="AC20" i="11"/>
  <c r="AC8" i="11"/>
  <c r="AB9" i="11"/>
  <c r="AB10" i="11"/>
  <c r="AB11" i="11"/>
  <c r="AB12" i="11"/>
  <c r="AB13" i="11"/>
  <c r="AB14" i="11"/>
  <c r="AB15" i="11"/>
  <c r="AB16" i="11"/>
  <c r="AB17" i="11"/>
  <c r="AB18" i="11"/>
  <c r="AB19" i="11"/>
  <c r="AB20" i="11"/>
  <c r="AB21" i="11"/>
  <c r="AB22" i="11"/>
  <c r="AB23" i="11"/>
  <c r="AB24" i="11"/>
  <c r="AB8" i="11"/>
  <c r="AA19" i="11"/>
  <c r="AA20" i="11"/>
  <c r="AA22" i="11"/>
  <c r="AA23" i="11"/>
  <c r="AA24" i="11"/>
  <c r="Z24" i="11"/>
  <c r="Z11" i="11"/>
  <c r="Z12" i="11"/>
  <c r="Z13" i="11"/>
  <c r="Z16" i="11"/>
  <c r="Z18" i="11"/>
  <c r="Z20" i="11"/>
  <c r="Z21" i="11"/>
  <c r="Z22" i="11"/>
  <c r="Z23" i="11"/>
  <c r="Y10" i="11"/>
  <c r="Y11" i="11"/>
  <c r="Y12" i="11"/>
  <c r="Y13" i="11"/>
  <c r="Y14" i="11"/>
  <c r="Y15" i="11"/>
  <c r="Y16" i="11"/>
  <c r="Y17" i="11"/>
  <c r="Y18" i="11"/>
  <c r="Y19" i="11"/>
  <c r="Y20" i="11"/>
  <c r="Y21" i="11"/>
  <c r="Y22" i="11"/>
  <c r="Y23" i="11"/>
  <c r="Y24" i="11"/>
  <c r="Y8" i="11"/>
  <c r="X9" i="11"/>
  <c r="X10" i="11"/>
  <c r="X11" i="11"/>
  <c r="X12" i="11"/>
  <c r="X13" i="11"/>
  <c r="X14" i="11"/>
  <c r="X15" i="11"/>
  <c r="X16" i="11"/>
  <c r="X17" i="11"/>
  <c r="X18" i="11"/>
  <c r="X19" i="11"/>
  <c r="X20" i="11"/>
  <c r="X21" i="11"/>
  <c r="X22" i="11"/>
  <c r="X23" i="11"/>
  <c r="X24" i="11"/>
  <c r="X8" i="11"/>
  <c r="E41" i="6" l="1"/>
  <c r="Z8" i="11" s="1"/>
  <c r="G47" i="6" l="1"/>
  <c r="AA14" i="11" s="1"/>
  <c r="J43" i="7"/>
  <c r="F40" i="7" l="1"/>
  <c r="G54" i="6" l="1"/>
  <c r="AC21" i="11"/>
  <c r="K54" i="6" l="1"/>
  <c r="AE21" i="11" s="1"/>
  <c r="AA21" i="11"/>
  <c r="I23" i="11" l="1"/>
  <c r="D19" i="11"/>
  <c r="I14" i="11"/>
  <c r="I13" i="11"/>
  <c r="I12" i="11"/>
  <c r="I11" i="11"/>
  <c r="I10" i="11"/>
  <c r="D15" i="11"/>
  <c r="D14" i="11"/>
  <c r="D13" i="11"/>
  <c r="D12" i="11"/>
  <c r="D11" i="11"/>
  <c r="D10" i="11"/>
  <c r="G44" i="6"/>
  <c r="AA11" i="11" s="1"/>
  <c r="AC18" i="11"/>
  <c r="AC16" i="11"/>
  <c r="AA12" i="11" l="1"/>
  <c r="AC14" i="11"/>
  <c r="E47" i="6"/>
  <c r="Z14" i="11" s="1"/>
  <c r="K44" i="6"/>
  <c r="K53" i="6"/>
  <c r="AE20" i="11" s="1"/>
  <c r="AE12" i="11" l="1"/>
  <c r="E123" i="14"/>
  <c r="AE11" i="11"/>
  <c r="Z9" i="11"/>
  <c r="D300" i="14" l="1"/>
  <c r="H123" i="14"/>
  <c r="K47" i="6"/>
  <c r="AE14" i="11" s="1"/>
  <c r="C8" i="2"/>
  <c r="C42" i="6"/>
  <c r="Y9" i="11" s="1"/>
  <c r="I300" i="14" l="1"/>
  <c r="J300" i="14"/>
  <c r="K300" i="14"/>
  <c r="L300" i="14"/>
  <c r="M300" i="14"/>
  <c r="N300" i="14"/>
  <c r="O300" i="14"/>
  <c r="P300" i="14"/>
  <c r="Q300" i="14"/>
  <c r="R300" i="14"/>
  <c r="S300" i="14"/>
  <c r="T300" i="14"/>
  <c r="U300" i="14"/>
  <c r="V300" i="14"/>
  <c r="W300" i="14"/>
  <c r="X300" i="14"/>
  <c r="Y300" i="14"/>
  <c r="Z300" i="14"/>
  <c r="AA300" i="14"/>
  <c r="AB300" i="14"/>
  <c r="AC300" i="14"/>
  <c r="AD300" i="14"/>
  <c r="AE300" i="14"/>
  <c r="AF300" i="14"/>
  <c r="AG300" i="14"/>
  <c r="C20" i="11"/>
  <c r="B5" i="7" l="1"/>
  <c r="I24" i="11"/>
  <c r="D23" i="11" l="1"/>
  <c r="I28" i="11"/>
  <c r="B10" i="7"/>
  <c r="B12" i="7"/>
  <c r="B11" i="7"/>
  <c r="B7" i="7"/>
  <c r="B6" i="7"/>
  <c r="B13" i="7"/>
  <c r="B8" i="7"/>
  <c r="B9" i="7"/>
  <c r="O25" i="11" l="1"/>
  <c r="I19" i="11"/>
  <c r="I20" i="11" s="1"/>
  <c r="E52" i="6"/>
  <c r="I52" i="6" s="1"/>
  <c r="G46" i="6"/>
  <c r="I55" i="6"/>
  <c r="AC22" i="11" s="1"/>
  <c r="G49" i="6"/>
  <c r="AA16" i="11" s="1"/>
  <c r="G42" i="6"/>
  <c r="AA8" i="11"/>
  <c r="B14" i="7" a="1"/>
  <c r="B14" i="7" s="1"/>
  <c r="C21" i="2" s="1"/>
  <c r="Z19" i="11" l="1"/>
  <c r="AC19" i="11"/>
  <c r="C22" i="2"/>
  <c r="E83" i="14" s="1"/>
  <c r="L28" i="6"/>
  <c r="I43" i="6" s="1"/>
  <c r="K55" i="6"/>
  <c r="AE22" i="11" s="1"/>
  <c r="AE23" i="11"/>
  <c r="H135" i="14"/>
  <c r="AA9" i="11"/>
  <c r="K42" i="6"/>
  <c r="E103" i="14" s="1"/>
  <c r="AA13" i="11"/>
  <c r="D283" i="14"/>
  <c r="K46" i="6"/>
  <c r="AC23" i="11"/>
  <c r="G51" i="6"/>
  <c r="K51" i="6" s="1"/>
  <c r="K49" i="6"/>
  <c r="AE16" i="11" s="1"/>
  <c r="AD8" i="11"/>
  <c r="C29" i="2"/>
  <c r="G40" i="7" s="1"/>
  <c r="E43" i="6"/>
  <c r="Z10" i="11" s="1"/>
  <c r="D24" i="11"/>
  <c r="T25" i="11" s="1"/>
  <c r="K52" i="6" l="1"/>
  <c r="AE19" i="11" s="1"/>
  <c r="H80" i="14"/>
  <c r="AE18" i="11"/>
  <c r="E125" i="14"/>
  <c r="AE13" i="11"/>
  <c r="AE9" i="11"/>
  <c r="C34" i="2"/>
  <c r="E283" i="14"/>
  <c r="I283" i="14"/>
  <c r="J283" i="14"/>
  <c r="K283" i="14"/>
  <c r="L283" i="14"/>
  <c r="M283" i="14"/>
  <c r="N283" i="14"/>
  <c r="O283" i="14"/>
  <c r="P283" i="14"/>
  <c r="Q283" i="14"/>
  <c r="R283" i="14"/>
  <c r="S283" i="14"/>
  <c r="T283" i="14"/>
  <c r="U283" i="14"/>
  <c r="V283" i="14"/>
  <c r="W283" i="14"/>
  <c r="X283" i="14"/>
  <c r="Y283" i="14"/>
  <c r="Z283" i="14"/>
  <c r="AA283" i="14"/>
  <c r="AB283" i="14"/>
  <c r="AC283" i="14"/>
  <c r="AD283" i="14"/>
  <c r="AE283" i="14"/>
  <c r="AF283" i="14"/>
  <c r="AG283" i="14"/>
  <c r="AA18" i="11"/>
  <c r="AC10" i="11"/>
  <c r="D40" i="7"/>
  <c r="H40" i="7" s="1"/>
  <c r="I40" i="7" s="1"/>
  <c r="G43" i="6"/>
  <c r="AA10" i="11" s="1"/>
  <c r="D25" i="11"/>
  <c r="T26" i="11" s="1"/>
  <c r="C30" i="2"/>
  <c r="C31" i="2" s="1"/>
  <c r="C32" i="2" s="1"/>
  <c r="J43" i="6" l="1"/>
  <c r="E84" i="14" s="1"/>
  <c r="H125" i="14"/>
  <c r="H126" i="14" s="1"/>
  <c r="H262" i="14" s="1"/>
  <c r="D302" i="14"/>
  <c r="H105" i="14"/>
  <c r="D288" i="14"/>
  <c r="B23" i="7"/>
  <c r="B22" i="7"/>
  <c r="F13" i="7"/>
  <c r="G48" i="6"/>
  <c r="B17" i="7"/>
  <c r="B20" i="7"/>
  <c r="B18" i="7"/>
  <c r="B19" i="7"/>
  <c r="B21" i="7"/>
  <c r="AA15" i="11" l="1"/>
  <c r="E113" i="14"/>
  <c r="I302" i="14"/>
  <c r="I372" i="14" s="1"/>
  <c r="J302" i="14"/>
  <c r="J372" i="14" s="1"/>
  <c r="K302" i="14"/>
  <c r="K372" i="14" s="1"/>
  <c r="L302" i="14"/>
  <c r="L372" i="14" s="1"/>
  <c r="M302" i="14"/>
  <c r="M372" i="14" s="1"/>
  <c r="N302" i="14"/>
  <c r="N372" i="14" s="1"/>
  <c r="O302" i="14"/>
  <c r="O372" i="14" s="1"/>
  <c r="P302" i="14"/>
  <c r="P372" i="14" s="1"/>
  <c r="Q302" i="14"/>
  <c r="Q372" i="14" s="1"/>
  <c r="R302" i="14"/>
  <c r="R372" i="14" s="1"/>
  <c r="S302" i="14"/>
  <c r="S372" i="14" s="1"/>
  <c r="T302" i="14"/>
  <c r="T372" i="14" s="1"/>
  <c r="U302" i="14"/>
  <c r="U372" i="14" s="1"/>
  <c r="V302" i="14"/>
  <c r="V372" i="14" s="1"/>
  <c r="W302" i="14"/>
  <c r="W372" i="14" s="1"/>
  <c r="X302" i="14"/>
  <c r="X372" i="14" s="1"/>
  <c r="Y302" i="14"/>
  <c r="Y372" i="14" s="1"/>
  <c r="Z302" i="14"/>
  <c r="Z372" i="14" s="1"/>
  <c r="AA302" i="14"/>
  <c r="AA372" i="14" s="1"/>
  <c r="AB302" i="14"/>
  <c r="AB372" i="14" s="1"/>
  <c r="AC302" i="14"/>
  <c r="AC372" i="14" s="1"/>
  <c r="AD302" i="14"/>
  <c r="AD372" i="14" s="1"/>
  <c r="AE302" i="14"/>
  <c r="AE372" i="14" s="1"/>
  <c r="AF302" i="14"/>
  <c r="AF372" i="14" s="1"/>
  <c r="AG302" i="14"/>
  <c r="AG372" i="14" s="1"/>
  <c r="D284" i="14"/>
  <c r="J57" i="6"/>
  <c r="E143" i="14" s="1"/>
  <c r="H143" i="14" s="1"/>
  <c r="H144" i="14" s="1"/>
  <c r="E288" i="14"/>
  <c r="I288" i="14"/>
  <c r="J288" i="14"/>
  <c r="K288" i="14"/>
  <c r="L288" i="14"/>
  <c r="M288" i="14"/>
  <c r="N288" i="14"/>
  <c r="O288" i="14"/>
  <c r="P288" i="14"/>
  <c r="Q288" i="14"/>
  <c r="R288" i="14"/>
  <c r="S288" i="14"/>
  <c r="T288" i="14"/>
  <c r="U288" i="14"/>
  <c r="V288" i="14"/>
  <c r="W288" i="14"/>
  <c r="X288" i="14"/>
  <c r="Y288" i="14"/>
  <c r="Z288" i="14"/>
  <c r="AA288" i="14"/>
  <c r="AB288" i="14"/>
  <c r="AC288" i="14"/>
  <c r="AD288" i="14"/>
  <c r="AE288" i="14"/>
  <c r="AF288" i="14"/>
  <c r="AG288" i="14"/>
  <c r="B24" i="7" a="1"/>
  <c r="B24" i="7" s="1"/>
  <c r="C33" i="2" s="1"/>
  <c r="AD10" i="11"/>
  <c r="F5" i="7"/>
  <c r="F16" i="7"/>
  <c r="F15" i="7"/>
  <c r="F14" i="7"/>
  <c r="F10" i="7"/>
  <c r="F9" i="7"/>
  <c r="F7" i="7"/>
  <c r="F12" i="7"/>
  <c r="F6" i="7"/>
  <c r="F8" i="7"/>
  <c r="F11" i="7"/>
  <c r="B14" i="6" l="1"/>
  <c r="H264" i="14"/>
  <c r="J58" i="6"/>
  <c r="AD25" i="11" s="1"/>
  <c r="H87" i="14"/>
  <c r="G84" i="14"/>
  <c r="AD24" i="11"/>
  <c r="I284" i="14"/>
  <c r="J284" i="14"/>
  <c r="K284" i="14"/>
  <c r="L284" i="14"/>
  <c r="M284" i="14"/>
  <c r="N284" i="14"/>
  <c r="O284" i="14"/>
  <c r="P284" i="14"/>
  <c r="Q284" i="14"/>
  <c r="R284" i="14"/>
  <c r="S284" i="14"/>
  <c r="T284" i="14"/>
  <c r="U284" i="14"/>
  <c r="V284" i="14"/>
  <c r="W284" i="14"/>
  <c r="F17" i="7"/>
  <c r="J40" i="7" s="1"/>
  <c r="G35" i="6" s="1"/>
  <c r="I48" i="6" s="1"/>
  <c r="E50" i="6"/>
  <c r="Z17" i="11" s="1"/>
  <c r="G50" i="6"/>
  <c r="AA17" i="11" s="1"/>
  <c r="I50" i="6" l="1"/>
  <c r="AC17" i="11" s="1"/>
  <c r="O26" i="11"/>
  <c r="K50" i="6" l="1"/>
  <c r="AE17" i="11"/>
  <c r="E107" i="14"/>
  <c r="E48" i="6"/>
  <c r="Z15" i="11" s="1"/>
  <c r="C49" i="2"/>
  <c r="K48" i="6"/>
  <c r="D289" i="14" l="1"/>
  <c r="H107" i="14"/>
  <c r="H108" i="14" s="1"/>
  <c r="K57" i="6"/>
  <c r="K58" i="6" s="1"/>
  <c r="K59" i="6" s="1"/>
  <c r="E114" i="14"/>
  <c r="AC15" i="11"/>
  <c r="AE15" i="11"/>
  <c r="H260" i="14" l="1"/>
  <c r="AE27" i="11"/>
  <c r="K60" i="6"/>
  <c r="J39" i="6" s="1"/>
  <c r="H114" i="14"/>
  <c r="H120" i="14" s="1"/>
  <c r="D293" i="14"/>
  <c r="D309" i="14" s="1"/>
  <c r="Q289" i="14"/>
  <c r="AC289" i="14"/>
  <c r="AD289" i="14"/>
  <c r="T289" i="14"/>
  <c r="AG289" i="14"/>
  <c r="N289" i="14"/>
  <c r="R289" i="14"/>
  <c r="Y289" i="14"/>
  <c r="O289" i="14"/>
  <c r="P289" i="14"/>
  <c r="S289" i="14"/>
  <c r="AE289" i="14"/>
  <c r="AF289" i="14"/>
  <c r="J289" i="14"/>
  <c r="W289" i="14"/>
  <c r="Z289" i="14"/>
  <c r="X289" i="14"/>
  <c r="I289" i="14"/>
  <c r="U289" i="14"/>
  <c r="K289" i="14"/>
  <c r="L289" i="14"/>
  <c r="M289" i="14"/>
  <c r="AB289" i="14"/>
  <c r="V289" i="14"/>
  <c r="AA289" i="14"/>
  <c r="AE24" i="11"/>
  <c r="AE29" i="11" l="1"/>
  <c r="H148" i="14"/>
  <c r="K370" i="14"/>
  <c r="N370" i="14"/>
  <c r="T370" i="14"/>
  <c r="Q370" i="14"/>
  <c r="V370" i="14"/>
  <c r="R370" i="14"/>
  <c r="W370" i="14"/>
  <c r="M370" i="14"/>
  <c r="P370" i="14"/>
  <c r="I293" i="14"/>
  <c r="I371" i="14" s="1"/>
  <c r="J293" i="14"/>
  <c r="J371" i="14" s="1"/>
  <c r="K293" i="14"/>
  <c r="K371" i="14" s="1"/>
  <c r="L293" i="14"/>
  <c r="L371" i="14" s="1"/>
  <c r="M293" i="14"/>
  <c r="M371" i="14" s="1"/>
  <c r="N293" i="14"/>
  <c r="N371" i="14" s="1"/>
  <c r="O293" i="14"/>
  <c r="O371" i="14" s="1"/>
  <c r="P293" i="14"/>
  <c r="P371" i="14" s="1"/>
  <c r="Q293" i="14"/>
  <c r="Q371" i="14" s="1"/>
  <c r="R293" i="14"/>
  <c r="R371" i="14" s="1"/>
  <c r="S293" i="14"/>
  <c r="S371" i="14" s="1"/>
  <c r="T293" i="14"/>
  <c r="T371" i="14" s="1"/>
  <c r="U293" i="14"/>
  <c r="U371" i="14" s="1"/>
  <c r="V293" i="14"/>
  <c r="V371" i="14" s="1"/>
  <c r="W293" i="14"/>
  <c r="W371" i="14" s="1"/>
  <c r="X293" i="14"/>
  <c r="X371" i="14" s="1"/>
  <c r="Y293" i="14"/>
  <c r="Y371" i="14" s="1"/>
  <c r="Z293" i="14"/>
  <c r="Z371" i="14" s="1"/>
  <c r="AA293" i="14"/>
  <c r="AA371" i="14" s="1"/>
  <c r="AB293" i="14"/>
  <c r="AB371" i="14" s="1"/>
  <c r="AC293" i="14"/>
  <c r="AC371" i="14" s="1"/>
  <c r="AD293" i="14"/>
  <c r="AD371" i="14" s="1"/>
  <c r="AE293" i="14"/>
  <c r="AE371" i="14" s="1"/>
  <c r="AF293" i="14"/>
  <c r="AF371" i="14" s="1"/>
  <c r="AG293" i="14"/>
  <c r="AG371" i="14" s="1"/>
  <c r="U370" i="14"/>
  <c r="I370" i="14"/>
  <c r="J370" i="14"/>
  <c r="S370" i="14"/>
  <c r="L370" i="14"/>
  <c r="O370" i="14"/>
  <c r="H261" i="14"/>
  <c r="H265" i="14" s="1"/>
  <c r="AE25" i="11"/>
  <c r="H205" i="14" l="1"/>
  <c r="D36" i="14"/>
  <c r="E237" i="14" s="1"/>
  <c r="H153" i="14"/>
  <c r="H431" i="14" s="1"/>
  <c r="P374" i="14"/>
  <c r="P376" i="14" s="1"/>
  <c r="P495" i="14" s="1"/>
  <c r="M374" i="14"/>
  <c r="M376" i="14" s="1"/>
  <c r="M495" i="14" s="1"/>
  <c r="L374" i="14"/>
  <c r="L376" i="14" s="1"/>
  <c r="L495" i="14" s="1"/>
  <c r="L309" i="14"/>
  <c r="L468" i="14" s="1"/>
  <c r="M309" i="14"/>
  <c r="M423" i="14" s="1"/>
  <c r="O309" i="14"/>
  <c r="O468" i="14" s="1"/>
  <c r="V374" i="14"/>
  <c r="V376" i="14" s="1"/>
  <c r="V495" i="14" s="1"/>
  <c r="U309" i="14"/>
  <c r="U468" i="14" s="1"/>
  <c r="U374" i="14"/>
  <c r="U376" i="14" s="1"/>
  <c r="U495" i="14" s="1"/>
  <c r="Q374" i="14"/>
  <c r="Q376" i="14" s="1"/>
  <c r="Q495" i="14" s="1"/>
  <c r="Q309" i="14"/>
  <c r="Q468" i="14" s="1"/>
  <c r="AE5" i="11"/>
  <c r="O374" i="14"/>
  <c r="O376" i="14" s="1"/>
  <c r="O495" i="14" s="1"/>
  <c r="P309" i="14"/>
  <c r="P423" i="14" s="1"/>
  <c r="H469" i="14"/>
  <c r="H471" i="14" s="1"/>
  <c r="H152" i="14"/>
  <c r="AK7" i="11" s="1"/>
  <c r="D274" i="14"/>
  <c r="H385" i="14"/>
  <c r="T309" i="14"/>
  <c r="S309" i="14"/>
  <c r="W309" i="14"/>
  <c r="T374" i="14"/>
  <c r="T376" i="14" s="1"/>
  <c r="T495" i="14" s="1"/>
  <c r="J309" i="14"/>
  <c r="W374" i="14"/>
  <c r="W376" i="14" s="1"/>
  <c r="W495" i="14" s="1"/>
  <c r="N309" i="14"/>
  <c r="J374" i="14"/>
  <c r="J376" i="14" s="1"/>
  <c r="J495" i="14" s="1"/>
  <c r="R309" i="14"/>
  <c r="N374" i="14"/>
  <c r="N376" i="14" s="1"/>
  <c r="N495" i="14" s="1"/>
  <c r="S374" i="14"/>
  <c r="S376" i="14" s="1"/>
  <c r="S495" i="14" s="1"/>
  <c r="R374" i="14"/>
  <c r="R376" i="14" s="1"/>
  <c r="R495" i="14" s="1"/>
  <c r="K374" i="14"/>
  <c r="K376" i="14" s="1"/>
  <c r="K495" i="14" s="1"/>
  <c r="I374" i="14"/>
  <c r="I376" i="14" s="1"/>
  <c r="I309" i="14"/>
  <c r="V309" i="14"/>
  <c r="K309" i="14"/>
  <c r="D28" i="11"/>
  <c r="I495" i="14" l="1"/>
  <c r="R496" i="14" s="1"/>
  <c r="AK8" i="11"/>
  <c r="L423" i="14"/>
  <c r="E87" i="14"/>
  <c r="M468" i="14"/>
  <c r="O423" i="14"/>
  <c r="U423" i="14"/>
  <c r="Q423" i="14"/>
  <c r="D29" i="11"/>
  <c r="P468" i="14"/>
  <c r="J423" i="14"/>
  <c r="J468" i="14"/>
  <c r="W468" i="14"/>
  <c r="W423" i="14"/>
  <c r="H386" i="14"/>
  <c r="H430" i="14"/>
  <c r="S423" i="14"/>
  <c r="S468" i="14"/>
  <c r="D38" i="14"/>
  <c r="D40" i="14" s="1"/>
  <c r="N423" i="14"/>
  <c r="N468" i="14"/>
  <c r="T423" i="14"/>
  <c r="T468" i="14"/>
  <c r="K423" i="14"/>
  <c r="K468" i="14"/>
  <c r="R468" i="14"/>
  <c r="R423" i="14"/>
  <c r="H387" i="14"/>
  <c r="V468" i="14"/>
  <c r="V423" i="14"/>
  <c r="I423" i="14"/>
  <c r="I468" i="14"/>
  <c r="I469" i="14" s="1"/>
  <c r="I321" i="14"/>
  <c r="J321" i="14" s="1"/>
  <c r="K321" i="14" s="1"/>
  <c r="L321" i="14" s="1"/>
  <c r="M321" i="14" s="1"/>
  <c r="N321" i="14" s="1"/>
  <c r="O321" i="14" s="1"/>
  <c r="P321" i="14" s="1"/>
  <c r="Q321" i="14" s="1"/>
  <c r="T497" i="14" l="1"/>
  <c r="I496" i="14"/>
  <c r="O496" i="14"/>
  <c r="L497" i="14"/>
  <c r="W496" i="14"/>
  <c r="K496" i="14"/>
  <c r="S496" i="14"/>
  <c r="N496" i="14"/>
  <c r="Q496" i="14"/>
  <c r="J497" i="14"/>
  <c r="I497" i="14"/>
  <c r="M497" i="14"/>
  <c r="K497" i="14"/>
  <c r="V496" i="14"/>
  <c r="P497" i="14"/>
  <c r="T496" i="14"/>
  <c r="N497" i="14"/>
  <c r="P496" i="14"/>
  <c r="W497" i="14"/>
  <c r="S497" i="14"/>
  <c r="J496" i="14"/>
  <c r="U496" i="14"/>
  <c r="U497" i="14"/>
  <c r="O497" i="14"/>
  <c r="L496" i="14"/>
  <c r="Q497" i="14"/>
  <c r="M496" i="14"/>
  <c r="R497" i="14"/>
  <c r="V497" i="14"/>
  <c r="H459" i="14"/>
  <c r="H462" i="14" s="1"/>
  <c r="E284" i="14"/>
  <c r="W87" i="14"/>
  <c r="J469" i="14"/>
  <c r="K469" i="14" s="1"/>
  <c r="L469" i="14" s="1"/>
  <c r="M469" i="14" s="1"/>
  <c r="N469" i="14" s="1"/>
  <c r="O469" i="14" s="1"/>
  <c r="P469" i="14" s="1"/>
  <c r="Q469" i="14" s="1"/>
  <c r="R469" i="14" s="1"/>
  <c r="D55" i="14"/>
  <c r="H155" i="14" s="1"/>
  <c r="M237" i="14"/>
  <c r="H237" i="14"/>
  <c r="H253" i="14" s="1"/>
  <c r="H154" i="14"/>
  <c r="R321" i="14"/>
  <c r="H156" i="14" l="1"/>
  <c r="H434" i="14" s="1"/>
  <c r="H448" i="14" s="1"/>
  <c r="AK9" i="11"/>
  <c r="W314" i="14"/>
  <c r="W108" i="14"/>
  <c r="AA284" i="14"/>
  <c r="X284" i="14"/>
  <c r="AC284" i="14"/>
  <c r="AB284" i="14"/>
  <c r="Z284" i="14"/>
  <c r="AG284" i="14"/>
  <c r="AF284" i="14"/>
  <c r="AE284" i="14"/>
  <c r="Y284" i="14"/>
  <c r="AD284" i="14"/>
  <c r="H388" i="14"/>
  <c r="H432" i="14"/>
  <c r="H474" i="14"/>
  <c r="H255" i="14"/>
  <c r="H427" i="14"/>
  <c r="H269" i="14"/>
  <c r="H270" i="14" s="1"/>
  <c r="H433" i="14"/>
  <c r="H451" i="14"/>
  <c r="H389" i="14"/>
  <c r="H390" i="14" s="1"/>
  <c r="S321" i="14"/>
  <c r="S469" i="14"/>
  <c r="AK10" i="11" l="1"/>
  <c r="AK11" i="11" s="1"/>
  <c r="AG370" i="14"/>
  <c r="AG374" i="14" s="1"/>
  <c r="AG376" i="14" s="1"/>
  <c r="AG478" i="14" s="1"/>
  <c r="AG309" i="14"/>
  <c r="AC309" i="14"/>
  <c r="AC370" i="14"/>
  <c r="AC374" i="14" s="1"/>
  <c r="Y370" i="14"/>
  <c r="Y374" i="14" s="1"/>
  <c r="Y376" i="14" s="1"/>
  <c r="Y495" i="14" s="1"/>
  <c r="Y309" i="14"/>
  <c r="Z370" i="14"/>
  <c r="Z374" i="14" s="1"/>
  <c r="Z376" i="14" s="1"/>
  <c r="Z495" i="14" s="1"/>
  <c r="Z309" i="14"/>
  <c r="X370" i="14"/>
  <c r="X374" i="14" s="1"/>
  <c r="X376" i="14" s="1"/>
  <c r="X495" i="14" s="1"/>
  <c r="X496" i="14" s="1"/>
  <c r="X309" i="14"/>
  <c r="W148" i="14"/>
  <c r="W205" i="14" s="1"/>
  <c r="D273" i="14" s="1"/>
  <c r="W260" i="14"/>
  <c r="W265" i="14" s="1"/>
  <c r="F265" i="14" s="1"/>
  <c r="AB309" i="14"/>
  <c r="AB370" i="14"/>
  <c r="AB374" i="14" s="1"/>
  <c r="AB376" i="14" s="1"/>
  <c r="AD309" i="14"/>
  <c r="AD370" i="14"/>
  <c r="AD374" i="14" s="1"/>
  <c r="AD376" i="14" s="1"/>
  <c r="AD478" i="14" s="1"/>
  <c r="AA309" i="14"/>
  <c r="AA370" i="14"/>
  <c r="AA374" i="14" s="1"/>
  <c r="AA376" i="14" s="1"/>
  <c r="AA495" i="14" s="1"/>
  <c r="AE370" i="14"/>
  <c r="AE374" i="14" s="1"/>
  <c r="AE376" i="14" s="1"/>
  <c r="AE478" i="14" s="1"/>
  <c r="AE309" i="14"/>
  <c r="AF370" i="14"/>
  <c r="AF374" i="14" s="1"/>
  <c r="AF376" i="14" s="1"/>
  <c r="AF478" i="14" s="1"/>
  <c r="AF309" i="14"/>
  <c r="W439" i="14"/>
  <c r="W319" i="14"/>
  <c r="H395" i="14"/>
  <c r="H453" i="14"/>
  <c r="H455" i="14" s="1"/>
  <c r="H406" i="14"/>
  <c r="I406" i="14" s="1"/>
  <c r="H392" i="14"/>
  <c r="I390" i="14"/>
  <c r="H330" i="14"/>
  <c r="H157" i="14"/>
  <c r="T321" i="14"/>
  <c r="T469" i="14"/>
  <c r="AC376" i="14" l="1"/>
  <c r="AC478" i="14" s="1"/>
  <c r="X497" i="14"/>
  <c r="Y497" i="14"/>
  <c r="AF496" i="14"/>
  <c r="Z496" i="14"/>
  <c r="Y496" i="14"/>
  <c r="Z497" i="14"/>
  <c r="AG497" i="14"/>
  <c r="AB497" i="14"/>
  <c r="AB496" i="14"/>
  <c r="Z423" i="14"/>
  <c r="Z468" i="14"/>
  <c r="AG496" i="14"/>
  <c r="AF468" i="14"/>
  <c r="AF423" i="14"/>
  <c r="Y423" i="14"/>
  <c r="Y468" i="14"/>
  <c r="AC497" i="14"/>
  <c r="AA497" i="14"/>
  <c r="AB423" i="14"/>
  <c r="AB468" i="14"/>
  <c r="AE468" i="14"/>
  <c r="AE423" i="14"/>
  <c r="W444" i="14"/>
  <c r="W446" i="14" s="1"/>
  <c r="I486" i="14" s="1"/>
  <c r="D509" i="14" s="1"/>
  <c r="D319" i="14"/>
  <c r="AD423" i="14"/>
  <c r="AD468" i="14"/>
  <c r="AD497" i="14"/>
  <c r="AD496" i="14"/>
  <c r="AC468" i="14"/>
  <c r="AC423" i="14"/>
  <c r="AA496" i="14"/>
  <c r="X468" i="14"/>
  <c r="X423" i="14"/>
  <c r="AG423" i="14"/>
  <c r="AG468" i="14"/>
  <c r="AC496" i="14"/>
  <c r="AF497" i="14"/>
  <c r="AE496" i="14"/>
  <c r="AE497" i="14"/>
  <c r="AA468" i="14"/>
  <c r="AA423" i="14"/>
  <c r="H435" i="14"/>
  <c r="H446" i="14" s="1"/>
  <c r="I330" i="14"/>
  <c r="I393" i="14"/>
  <c r="I392" i="14"/>
  <c r="J390" i="14"/>
  <c r="H477" i="14"/>
  <c r="H333" i="14"/>
  <c r="J397" i="14"/>
  <c r="M397" i="14"/>
  <c r="K397" i="14"/>
  <c r="H396" i="14"/>
  <c r="I397" i="14"/>
  <c r="L397" i="14"/>
  <c r="U469" i="14"/>
  <c r="U321" i="14"/>
  <c r="H457" i="14" l="1"/>
  <c r="I485" i="14"/>
  <c r="D508" i="14" s="1"/>
  <c r="AO26" i="11"/>
  <c r="AL7" i="11"/>
  <c r="AL8" i="11"/>
  <c r="AL9" i="11"/>
  <c r="AL11" i="11"/>
  <c r="AL10" i="11"/>
  <c r="K325" i="14"/>
  <c r="K454" i="14"/>
  <c r="K455" i="14" s="1"/>
  <c r="M454" i="14"/>
  <c r="M455" i="14" s="1"/>
  <c r="M325" i="14"/>
  <c r="L454" i="14"/>
  <c r="L455" i="14" s="1"/>
  <c r="L325" i="14"/>
  <c r="I325" i="14"/>
  <c r="I454" i="14"/>
  <c r="I455" i="14" s="1"/>
  <c r="H398" i="14"/>
  <c r="I396" i="14"/>
  <c r="H324" i="14"/>
  <c r="I333" i="14"/>
  <c r="I477" i="14"/>
  <c r="I332" i="14"/>
  <c r="J454" i="14"/>
  <c r="J455" i="14" s="1"/>
  <c r="J325" i="14"/>
  <c r="K390" i="14"/>
  <c r="J330" i="14"/>
  <c r="J393" i="14"/>
  <c r="J392" i="14"/>
  <c r="V321" i="14"/>
  <c r="V469" i="14"/>
  <c r="AO25" i="11" l="1"/>
  <c r="J332" i="14"/>
  <c r="I398" i="14"/>
  <c r="I324" i="14"/>
  <c r="J396" i="14"/>
  <c r="I399" i="14"/>
  <c r="J333" i="14"/>
  <c r="J477" i="14"/>
  <c r="K393" i="14"/>
  <c r="K330" i="14"/>
  <c r="L390" i="14"/>
  <c r="K392" i="14"/>
  <c r="H327" i="14"/>
  <c r="H478" i="14"/>
  <c r="H479" i="14" s="1"/>
  <c r="W321" i="14"/>
  <c r="W469" i="14"/>
  <c r="I401" i="14" l="1"/>
  <c r="I490" i="14"/>
  <c r="L330" i="14"/>
  <c r="M390" i="14"/>
  <c r="L392" i="14"/>
  <c r="L393" i="14"/>
  <c r="K332" i="14"/>
  <c r="I326" i="14"/>
  <c r="I251" i="14"/>
  <c r="I253" i="14" s="1"/>
  <c r="J399" i="14"/>
  <c r="J324" i="14"/>
  <c r="K396" i="14"/>
  <c r="J398" i="14"/>
  <c r="I478" i="14"/>
  <c r="I327" i="14"/>
  <c r="K477" i="14"/>
  <c r="K333" i="14"/>
  <c r="X321" i="14"/>
  <c r="Y321" i="14" s="1"/>
  <c r="Z321" i="14" s="1"/>
  <c r="AA321" i="14" s="1"/>
  <c r="AB321" i="14" s="1"/>
  <c r="AC321" i="14" s="1"/>
  <c r="X469" i="14"/>
  <c r="Y469" i="14" s="1"/>
  <c r="Z469" i="14" s="1"/>
  <c r="AA469" i="14" s="1"/>
  <c r="J326" i="14" l="1"/>
  <c r="J251" i="14"/>
  <c r="J253" i="14" s="1"/>
  <c r="J255" i="14" s="1"/>
  <c r="J490" i="14"/>
  <c r="J401" i="14"/>
  <c r="L332" i="14"/>
  <c r="J407" i="14"/>
  <c r="I404" i="14"/>
  <c r="I405" i="14" s="1"/>
  <c r="I408" i="14" s="1"/>
  <c r="I409" i="14" s="1"/>
  <c r="K399" i="14"/>
  <c r="K401" i="14" s="1"/>
  <c r="K324" i="14"/>
  <c r="L396" i="14"/>
  <c r="K398" i="14"/>
  <c r="M393" i="14"/>
  <c r="M330" i="14"/>
  <c r="M392" i="14"/>
  <c r="N390" i="14"/>
  <c r="I427" i="14"/>
  <c r="I474" i="14" s="1"/>
  <c r="I269" i="14"/>
  <c r="I270" i="14" s="1"/>
  <c r="I255" i="14"/>
  <c r="J327" i="14"/>
  <c r="J478" i="14"/>
  <c r="L477" i="14"/>
  <c r="L333" i="14"/>
  <c r="AB469" i="14"/>
  <c r="AD321" i="14"/>
  <c r="I410" i="14" l="1"/>
  <c r="I411" i="14"/>
  <c r="I413" i="14"/>
  <c r="L324" i="14"/>
  <c r="M396" i="14"/>
  <c r="L398" i="14"/>
  <c r="L399" i="14"/>
  <c r="O390" i="14"/>
  <c r="N393" i="14"/>
  <c r="N330" i="14"/>
  <c r="N392" i="14"/>
  <c r="K478" i="14"/>
  <c r="K327" i="14"/>
  <c r="K326" i="14"/>
  <c r="K251" i="14"/>
  <c r="K253" i="14" s="1"/>
  <c r="K255" i="14" s="1"/>
  <c r="K490" i="14"/>
  <c r="M333" i="14"/>
  <c r="M477" i="14"/>
  <c r="K407" i="14"/>
  <c r="J404" i="14"/>
  <c r="J405" i="14" s="1"/>
  <c r="M332" i="14"/>
  <c r="J269" i="14"/>
  <c r="J270" i="14" s="1"/>
  <c r="J427" i="14"/>
  <c r="J474" i="14" s="1"/>
  <c r="AC469" i="14"/>
  <c r="AE321" i="14"/>
  <c r="N333" i="14" l="1"/>
  <c r="N477" i="14"/>
  <c r="L326" i="14"/>
  <c r="L251" i="14"/>
  <c r="L253" i="14" s="1"/>
  <c r="L401" i="14"/>
  <c r="L490" i="14"/>
  <c r="O393" i="14"/>
  <c r="P390" i="14"/>
  <c r="O330" i="14"/>
  <c r="O392" i="14"/>
  <c r="L478" i="14"/>
  <c r="L327" i="14"/>
  <c r="I489" i="14"/>
  <c r="I414" i="14"/>
  <c r="I416" i="14" s="1"/>
  <c r="I422" i="14" s="1"/>
  <c r="K404" i="14"/>
  <c r="L407" i="14"/>
  <c r="N396" i="14"/>
  <c r="M398" i="14"/>
  <c r="M399" i="14"/>
  <c r="M324" i="14"/>
  <c r="N332" i="14"/>
  <c r="K427" i="14"/>
  <c r="K474" i="14" s="1"/>
  <c r="K269" i="14"/>
  <c r="K270" i="14" s="1"/>
  <c r="J408" i="14"/>
  <c r="J409" i="14" s="1"/>
  <c r="J406" i="14"/>
  <c r="AD469" i="14"/>
  <c r="AF321" i="14"/>
  <c r="I491" i="14" l="1"/>
  <c r="I492" i="14" s="1"/>
  <c r="K405" i="14"/>
  <c r="K408" i="14" s="1"/>
  <c r="K409" i="14" s="1"/>
  <c r="K410" i="14" s="1"/>
  <c r="P393" i="14"/>
  <c r="P392" i="14"/>
  <c r="P330" i="14"/>
  <c r="Q390" i="14"/>
  <c r="M478" i="14"/>
  <c r="M327" i="14"/>
  <c r="O332" i="14"/>
  <c r="N324" i="14"/>
  <c r="O396" i="14"/>
  <c r="N398" i="14"/>
  <c r="N399" i="14"/>
  <c r="M407" i="14"/>
  <c r="L404" i="14"/>
  <c r="L427" i="14"/>
  <c r="L474" i="14" s="1"/>
  <c r="L269" i="14"/>
  <c r="L270" i="14" s="1"/>
  <c r="L255" i="14"/>
  <c r="J413" i="14"/>
  <c r="J410" i="14"/>
  <c r="J411" i="14"/>
  <c r="O333" i="14"/>
  <c r="O477" i="14"/>
  <c r="M251" i="14"/>
  <c r="M253" i="14" s="1"/>
  <c r="M326" i="14"/>
  <c r="M401" i="14"/>
  <c r="M490" i="14"/>
  <c r="I476" i="14"/>
  <c r="I424" i="14"/>
  <c r="AG321" i="14"/>
  <c r="AE469" i="14"/>
  <c r="K411" i="14" l="1"/>
  <c r="K413" i="14"/>
  <c r="K406" i="14"/>
  <c r="L405" i="14" s="1"/>
  <c r="L408" i="14" s="1"/>
  <c r="L409" i="14" s="1"/>
  <c r="L411" i="14" s="1"/>
  <c r="M255" i="14"/>
  <c r="D272" i="14" s="1"/>
  <c r="M269" i="14"/>
  <c r="M270" i="14" s="1"/>
  <c r="F270" i="14" s="1"/>
  <c r="M427" i="14"/>
  <c r="M474" i="14" s="1"/>
  <c r="N474" i="14" s="1"/>
  <c r="O474" i="14" s="1"/>
  <c r="P474" i="14" s="1"/>
  <c r="Q474" i="14" s="1"/>
  <c r="R474" i="14" s="1"/>
  <c r="S474" i="14" s="1"/>
  <c r="T474" i="14" s="1"/>
  <c r="U474" i="14" s="1"/>
  <c r="P332" i="14"/>
  <c r="M404" i="14"/>
  <c r="N407" i="14"/>
  <c r="O399" i="14"/>
  <c r="O398" i="14"/>
  <c r="O324" i="14"/>
  <c r="P396" i="14"/>
  <c r="J475" i="14"/>
  <c r="I479" i="14"/>
  <c r="R390" i="14"/>
  <c r="Q330" i="14"/>
  <c r="Q392" i="14"/>
  <c r="Q393" i="14"/>
  <c r="N326" i="14"/>
  <c r="N401" i="14"/>
  <c r="N490" i="14"/>
  <c r="N327" i="14"/>
  <c r="N478" i="14"/>
  <c r="I459" i="14"/>
  <c r="I505" i="14" s="1"/>
  <c r="I457" i="14"/>
  <c r="I448" i="14"/>
  <c r="I500" i="14" s="1"/>
  <c r="J489" i="14"/>
  <c r="J491" i="14" s="1"/>
  <c r="J414" i="14"/>
  <c r="J416" i="14" s="1"/>
  <c r="P333" i="14"/>
  <c r="P477" i="14"/>
  <c r="AF469" i="14"/>
  <c r="K489" i="14" l="1"/>
  <c r="K491" i="14" s="1"/>
  <c r="K492" i="14" s="1"/>
  <c r="K414" i="14"/>
  <c r="K416" i="14" s="1"/>
  <c r="K422" i="14" s="1"/>
  <c r="K424" i="14" s="1"/>
  <c r="L410" i="14"/>
  <c r="L413" i="14"/>
  <c r="L406" i="14"/>
  <c r="M405" i="14" s="1"/>
  <c r="M408" i="14" s="1"/>
  <c r="M409" i="14" s="1"/>
  <c r="O327" i="14"/>
  <c r="O478" i="14"/>
  <c r="J492" i="14"/>
  <c r="R392" i="14"/>
  <c r="R393" i="14"/>
  <c r="R330" i="14"/>
  <c r="S390" i="14"/>
  <c r="I504" i="14"/>
  <c r="J422" i="14"/>
  <c r="J476" i="14"/>
  <c r="K475" i="14" s="1"/>
  <c r="Q332" i="14"/>
  <c r="Q333" i="14"/>
  <c r="Q477" i="14"/>
  <c r="I460" i="14"/>
  <c r="I470" i="14"/>
  <c r="I471" i="14" s="1"/>
  <c r="I501" i="14"/>
  <c r="I462" i="14"/>
  <c r="O326" i="14"/>
  <c r="O490" i="14"/>
  <c r="O401" i="14"/>
  <c r="N404" i="14"/>
  <c r="O407" i="14"/>
  <c r="Q396" i="14"/>
  <c r="P399" i="14"/>
  <c r="P398" i="14"/>
  <c r="P324" i="14"/>
  <c r="V474" i="14"/>
  <c r="AG469" i="14"/>
  <c r="J424" i="14" l="1"/>
  <c r="J448" i="14" s="1"/>
  <c r="K476" i="14"/>
  <c r="L475" i="14" s="1"/>
  <c r="M411" i="14"/>
  <c r="M413" i="14"/>
  <c r="L414" i="14"/>
  <c r="L416" i="14" s="1"/>
  <c r="L476" i="14" s="1"/>
  <c r="L489" i="14"/>
  <c r="L491" i="14" s="1"/>
  <c r="L492" i="14" s="1"/>
  <c r="M406" i="14"/>
  <c r="N405" i="14" s="1"/>
  <c r="N408" i="14" s="1"/>
  <c r="N409" i="14" s="1"/>
  <c r="N410" i="14" s="1"/>
  <c r="M410" i="14"/>
  <c r="J479" i="14"/>
  <c r="S330" i="14"/>
  <c r="T390" i="14"/>
  <c r="S393" i="14"/>
  <c r="S392" i="14"/>
  <c r="P326" i="14"/>
  <c r="P401" i="14"/>
  <c r="P490" i="14"/>
  <c r="P478" i="14"/>
  <c r="P327" i="14"/>
  <c r="R396" i="14"/>
  <c r="Q398" i="14"/>
  <c r="Q324" i="14"/>
  <c r="Q399" i="14"/>
  <c r="R332" i="14"/>
  <c r="R333" i="14"/>
  <c r="R477" i="14"/>
  <c r="K448" i="14"/>
  <c r="K459" i="14"/>
  <c r="K457" i="14"/>
  <c r="P407" i="14"/>
  <c r="O404" i="14"/>
  <c r="W474" i="14"/>
  <c r="J459" i="14" l="1"/>
  <c r="J505" i="14" s="1"/>
  <c r="J457" i="14"/>
  <c r="J500" i="14"/>
  <c r="K500" i="14"/>
  <c r="M414" i="14"/>
  <c r="M416" i="14" s="1"/>
  <c r="M476" i="14" s="1"/>
  <c r="K479" i="14"/>
  <c r="M489" i="14"/>
  <c r="M491" i="14" s="1"/>
  <c r="M492" i="14" s="1"/>
  <c r="L422" i="14"/>
  <c r="N406" i="14"/>
  <c r="O405" i="14" s="1"/>
  <c r="N411" i="14"/>
  <c r="N413" i="14"/>
  <c r="L479" i="14"/>
  <c r="R324" i="14"/>
  <c r="R398" i="14"/>
  <c r="R399" i="14"/>
  <c r="S396" i="14"/>
  <c r="Q327" i="14"/>
  <c r="Q478" i="14"/>
  <c r="J504" i="14"/>
  <c r="K504" i="14"/>
  <c r="P404" i="14"/>
  <c r="Q407" i="14"/>
  <c r="S477" i="14"/>
  <c r="S333" i="14"/>
  <c r="Q326" i="14"/>
  <c r="Q401" i="14"/>
  <c r="Q490" i="14"/>
  <c r="M475" i="14"/>
  <c r="S332" i="14"/>
  <c r="T330" i="14"/>
  <c r="T393" i="14"/>
  <c r="T392" i="14"/>
  <c r="U390" i="14"/>
  <c r="X474" i="14"/>
  <c r="J501" i="14" l="1"/>
  <c r="K501" i="14"/>
  <c r="J460" i="14"/>
  <c r="K460" i="14"/>
  <c r="K505" i="14"/>
  <c r="J462" i="14"/>
  <c r="K462" i="14" s="1"/>
  <c r="J470" i="14"/>
  <c r="K470" i="14" s="1"/>
  <c r="L424" i="14"/>
  <c r="L448" i="14" s="1"/>
  <c r="L500" i="14" s="1"/>
  <c r="M422" i="14"/>
  <c r="M424" i="14" s="1"/>
  <c r="M459" i="14" s="1"/>
  <c r="N489" i="14"/>
  <c r="N491" i="14" s="1"/>
  <c r="N492" i="14" s="1"/>
  <c r="N414" i="14"/>
  <c r="N416" i="14" s="1"/>
  <c r="N476" i="14" s="1"/>
  <c r="O408" i="14"/>
  <c r="O409" i="14" s="1"/>
  <c r="O406" i="14"/>
  <c r="P405" i="14" s="1"/>
  <c r="P408" i="14" s="1"/>
  <c r="P409" i="14" s="1"/>
  <c r="P410" i="14" s="1"/>
  <c r="N475" i="14"/>
  <c r="M479" i="14"/>
  <c r="T477" i="14"/>
  <c r="T333" i="14"/>
  <c r="T332" i="14"/>
  <c r="T396" i="14"/>
  <c r="S324" i="14"/>
  <c r="S399" i="14"/>
  <c r="S398" i="14"/>
  <c r="R326" i="14"/>
  <c r="R401" i="14"/>
  <c r="R490" i="14"/>
  <c r="R407" i="14"/>
  <c r="Q404" i="14"/>
  <c r="R327" i="14"/>
  <c r="R478" i="14"/>
  <c r="U393" i="14"/>
  <c r="V390" i="14"/>
  <c r="U330" i="14"/>
  <c r="U392" i="14"/>
  <c r="Y474" i="14"/>
  <c r="J471" i="14" l="1"/>
  <c r="L504" i="14"/>
  <c r="L457" i="14"/>
  <c r="L459" i="14"/>
  <c r="L460" i="14" s="1"/>
  <c r="M457" i="14"/>
  <c r="M448" i="14"/>
  <c r="M504" i="14" s="1"/>
  <c r="N422" i="14"/>
  <c r="N424" i="14" s="1"/>
  <c r="N459" i="14" s="1"/>
  <c r="P406" i="14"/>
  <c r="Q405" i="14" s="1"/>
  <c r="Q408" i="14" s="1"/>
  <c r="Q409" i="14" s="1"/>
  <c r="P411" i="14"/>
  <c r="P413" i="14"/>
  <c r="O410" i="14"/>
  <c r="O411" i="14"/>
  <c r="O413" i="14"/>
  <c r="U333" i="14"/>
  <c r="U477" i="14"/>
  <c r="S478" i="14"/>
  <c r="S327" i="14"/>
  <c r="S326" i="14"/>
  <c r="S490" i="14"/>
  <c r="S401" i="14"/>
  <c r="N479" i="14"/>
  <c r="O475" i="14"/>
  <c r="U332" i="14"/>
  <c r="T399" i="14"/>
  <c r="T398" i="14"/>
  <c r="U396" i="14"/>
  <c r="T324" i="14"/>
  <c r="S407" i="14"/>
  <c r="R404" i="14"/>
  <c r="V393" i="14"/>
  <c r="V330" i="14"/>
  <c r="V392" i="14"/>
  <c r="W390" i="14"/>
  <c r="K471" i="14"/>
  <c r="Z474" i="14"/>
  <c r="L470" i="14" l="1"/>
  <c r="L471" i="14" s="1"/>
  <c r="M460" i="14"/>
  <c r="M501" i="14"/>
  <c r="L462" i="14"/>
  <c r="M462" i="14" s="1"/>
  <c r="N462" i="14" s="1"/>
  <c r="L505" i="14"/>
  <c r="M505" i="14"/>
  <c r="N460" i="14"/>
  <c r="L501" i="14"/>
  <c r="M500" i="14"/>
  <c r="N448" i="14"/>
  <c r="N504" i="14" s="1"/>
  <c r="N457" i="14"/>
  <c r="P414" i="14"/>
  <c r="P416" i="14" s="1"/>
  <c r="P422" i="14" s="1"/>
  <c r="P424" i="14" s="1"/>
  <c r="P489" i="14"/>
  <c r="P491" i="14" s="1"/>
  <c r="O489" i="14"/>
  <c r="O491" i="14" s="1"/>
  <c r="O492" i="14" s="1"/>
  <c r="O414" i="14"/>
  <c r="O416" i="14" s="1"/>
  <c r="N505" i="14"/>
  <c r="T478" i="14"/>
  <c r="T327" i="14"/>
  <c r="T326" i="14"/>
  <c r="T401" i="14"/>
  <c r="T490" i="14"/>
  <c r="W330" i="14"/>
  <c r="W392" i="14"/>
  <c r="X390" i="14"/>
  <c r="W393" i="14"/>
  <c r="N501" i="14"/>
  <c r="V333" i="14"/>
  <c r="V477" i="14"/>
  <c r="V332" i="14"/>
  <c r="T407" i="14"/>
  <c r="S404" i="14"/>
  <c r="U398" i="14"/>
  <c r="U399" i="14"/>
  <c r="V396" i="14"/>
  <c r="U324" i="14"/>
  <c r="Q406" i="14"/>
  <c r="Q413" i="14"/>
  <c r="Q411" i="14"/>
  <c r="Q410" i="14"/>
  <c r="AA474" i="14"/>
  <c r="M470" i="14" l="1"/>
  <c r="M471" i="14" s="1"/>
  <c r="N500" i="14"/>
  <c r="P492" i="14"/>
  <c r="P476" i="14"/>
  <c r="O422" i="14"/>
  <c r="O476" i="14"/>
  <c r="R405" i="14"/>
  <c r="R408" i="14" s="1"/>
  <c r="R409" i="14" s="1"/>
  <c r="W333" i="14"/>
  <c r="W477" i="14"/>
  <c r="W332" i="14"/>
  <c r="V324" i="14"/>
  <c r="V399" i="14"/>
  <c r="V398" i="14"/>
  <c r="W396" i="14"/>
  <c r="T404" i="14"/>
  <c r="U407" i="14"/>
  <c r="U326" i="14"/>
  <c r="U401" i="14"/>
  <c r="U490" i="14"/>
  <c r="U327" i="14"/>
  <c r="U478" i="14"/>
  <c r="X330" i="14"/>
  <c r="X393" i="14"/>
  <c r="Y390" i="14"/>
  <c r="X392" i="14"/>
  <c r="P457" i="14"/>
  <c r="P448" i="14"/>
  <c r="P459" i="14"/>
  <c r="Q414" i="14"/>
  <c r="Q416" i="14" s="1"/>
  <c r="Q489" i="14"/>
  <c r="Q491" i="14" s="1"/>
  <c r="AB474" i="14"/>
  <c r="N470" i="14" l="1"/>
  <c r="N471" i="14" s="1"/>
  <c r="O424" i="14"/>
  <c r="O459" i="14" s="1"/>
  <c r="P505" i="14" s="1"/>
  <c r="P475" i="14"/>
  <c r="O479" i="14"/>
  <c r="R411" i="14"/>
  <c r="R410" i="14"/>
  <c r="R413" i="14"/>
  <c r="R406" i="14"/>
  <c r="V327" i="14"/>
  <c r="V478" i="14"/>
  <c r="W398" i="14"/>
  <c r="W324" i="14"/>
  <c r="W399" i="14"/>
  <c r="X396" i="14"/>
  <c r="Z390" i="14"/>
  <c r="Y330" i="14"/>
  <c r="Y393" i="14"/>
  <c r="Y392" i="14"/>
  <c r="X332" i="14"/>
  <c r="U404" i="14"/>
  <c r="V407" i="14"/>
  <c r="X333" i="14"/>
  <c r="X477" i="14"/>
  <c r="V326" i="14"/>
  <c r="V490" i="14"/>
  <c r="V401" i="14"/>
  <c r="Q492" i="14"/>
  <c r="Q422" i="14"/>
  <c r="Q424" i="14" s="1"/>
  <c r="Q476" i="14"/>
  <c r="AC474" i="14"/>
  <c r="O457" i="14" l="1"/>
  <c r="O448" i="14"/>
  <c r="P504" i="14" s="1"/>
  <c r="P460" i="14"/>
  <c r="P501" i="14"/>
  <c r="O505" i="14"/>
  <c r="O460" i="14"/>
  <c r="O501" i="14"/>
  <c r="O462" i="14"/>
  <c r="P462" i="14" s="1"/>
  <c r="O470" i="14"/>
  <c r="Q475" i="14"/>
  <c r="Q479" i="14" s="1"/>
  <c r="P479" i="14"/>
  <c r="S405" i="14"/>
  <c r="S408" i="14" s="1"/>
  <c r="S409" i="14" s="1"/>
  <c r="R414" i="14"/>
  <c r="R416" i="14" s="1"/>
  <c r="R489" i="14"/>
  <c r="R491" i="14" s="1"/>
  <c r="R492" i="14" s="1"/>
  <c r="Z393" i="14"/>
  <c r="AA390" i="14"/>
  <c r="Z392" i="14"/>
  <c r="Z330" i="14"/>
  <c r="Y396" i="14"/>
  <c r="X398" i="14"/>
  <c r="X399" i="14"/>
  <c r="X324" i="14"/>
  <c r="W326" i="14"/>
  <c r="W490" i="14"/>
  <c r="W401" i="14"/>
  <c r="W327" i="14"/>
  <c r="W478" i="14"/>
  <c r="V404" i="14"/>
  <c r="W407" i="14"/>
  <c r="Y333" i="14"/>
  <c r="Y477" i="14"/>
  <c r="Y332" i="14"/>
  <c r="Q459" i="14"/>
  <c r="Q448" i="14"/>
  <c r="Q457" i="14"/>
  <c r="AD474" i="14"/>
  <c r="O504" i="14" l="1"/>
  <c r="O500" i="14"/>
  <c r="P500" i="14"/>
  <c r="R475" i="14"/>
  <c r="O471" i="14"/>
  <c r="P470" i="14"/>
  <c r="P471" i="14" s="1"/>
  <c r="S406" i="14"/>
  <c r="T405" i="14" s="1"/>
  <c r="T408" i="14" s="1"/>
  <c r="T409" i="14" s="1"/>
  <c r="R476" i="14"/>
  <c r="R422" i="14"/>
  <c r="R424" i="14" s="1"/>
  <c r="S410" i="14"/>
  <c r="S413" i="14"/>
  <c r="S412" i="14"/>
  <c r="X326" i="14"/>
  <c r="X490" i="14"/>
  <c r="X401" i="14"/>
  <c r="X327" i="14"/>
  <c r="X478" i="14"/>
  <c r="W404" i="14"/>
  <c r="X407" i="14"/>
  <c r="Y398" i="14"/>
  <c r="Y324" i="14"/>
  <c r="Z396" i="14"/>
  <c r="Y399" i="14"/>
  <c r="Z332" i="14"/>
  <c r="Z333" i="14"/>
  <c r="Z477" i="14"/>
  <c r="AA393" i="14"/>
  <c r="AB390" i="14"/>
  <c r="AA330" i="14"/>
  <c r="AA392" i="14"/>
  <c r="Q501" i="14"/>
  <c r="Q505" i="14"/>
  <c r="Q460" i="14"/>
  <c r="Q462" i="14"/>
  <c r="Q504" i="14"/>
  <c r="Q500" i="14"/>
  <c r="AE474" i="14"/>
  <c r="R479" i="14" l="1"/>
  <c r="Q470" i="14"/>
  <c r="Q471" i="14" s="1"/>
  <c r="T406" i="14"/>
  <c r="U405" i="14" s="1"/>
  <c r="U408" i="14" s="1"/>
  <c r="U409" i="14" s="1"/>
  <c r="S475" i="14"/>
  <c r="S489" i="14"/>
  <c r="S491" i="14" s="1"/>
  <c r="S492" i="14" s="1"/>
  <c r="S414" i="14"/>
  <c r="S416" i="14" s="1"/>
  <c r="T412" i="14"/>
  <c r="T410" i="14"/>
  <c r="T413" i="14"/>
  <c r="R457" i="14"/>
  <c r="R459" i="14"/>
  <c r="R462" i="14" s="1"/>
  <c r="R448" i="14"/>
  <c r="AA332" i="14"/>
  <c r="AA477" i="14"/>
  <c r="AA333" i="14"/>
  <c r="Y478" i="14"/>
  <c r="Y327" i="14"/>
  <c r="AA396" i="14"/>
  <c r="Z399" i="14"/>
  <c r="Z398" i="14"/>
  <c r="Z324" i="14"/>
  <c r="AB393" i="14"/>
  <c r="AC390" i="14"/>
  <c r="AB392" i="14"/>
  <c r="AB330" i="14"/>
  <c r="Y407" i="14"/>
  <c r="X404" i="14"/>
  <c r="Y326" i="14"/>
  <c r="Y490" i="14"/>
  <c r="Y401" i="14"/>
  <c r="AF474" i="14"/>
  <c r="U406" i="14" l="1"/>
  <c r="V405" i="14" s="1"/>
  <c r="V408" i="14" s="1"/>
  <c r="V409" i="14" s="1"/>
  <c r="S476" i="14"/>
  <c r="S422" i="14"/>
  <c r="S424" i="14" s="1"/>
  <c r="T414" i="14"/>
  <c r="T416" i="14" s="1"/>
  <c r="T489" i="14"/>
  <c r="T491" i="14" s="1"/>
  <c r="T492" i="14" s="1"/>
  <c r="R460" i="14"/>
  <c r="R501" i="14"/>
  <c r="R470" i="14"/>
  <c r="R505" i="14"/>
  <c r="R504" i="14"/>
  <c r="R500" i="14"/>
  <c r="U410" i="14"/>
  <c r="U412" i="14"/>
  <c r="U413" i="14"/>
  <c r="AA399" i="14"/>
  <c r="AA398" i="14"/>
  <c r="AB396" i="14"/>
  <c r="AA324" i="14"/>
  <c r="AB477" i="14"/>
  <c r="AB333" i="14"/>
  <c r="AC393" i="14"/>
  <c r="AC392" i="14"/>
  <c r="AD390" i="14"/>
  <c r="AC330" i="14"/>
  <c r="Y404" i="14"/>
  <c r="Z407" i="14"/>
  <c r="Z478" i="14"/>
  <c r="Z327" i="14"/>
  <c r="AB332" i="14"/>
  <c r="Z326" i="14"/>
  <c r="Z401" i="14"/>
  <c r="Z490" i="14"/>
  <c r="AG474" i="14"/>
  <c r="V406" i="14" l="1"/>
  <c r="W405" i="14" s="1"/>
  <c r="W408" i="14" s="1"/>
  <c r="W409" i="14" s="1"/>
  <c r="W413" i="14" s="1"/>
  <c r="R471" i="14"/>
  <c r="U414" i="14"/>
  <c r="U416" i="14" s="1"/>
  <c r="U489" i="14"/>
  <c r="U491" i="14" s="1"/>
  <c r="T476" i="14"/>
  <c r="T422" i="14"/>
  <c r="T424" i="14" s="1"/>
  <c r="V413" i="14"/>
  <c r="V412" i="14"/>
  <c r="V410" i="14"/>
  <c r="S459" i="14"/>
  <c r="S457" i="14"/>
  <c r="S448" i="14"/>
  <c r="S479" i="14"/>
  <c r="T475" i="14"/>
  <c r="AC333" i="14"/>
  <c r="AC477" i="14"/>
  <c r="AD392" i="14"/>
  <c r="AD393" i="14"/>
  <c r="AE390" i="14"/>
  <c r="AD330" i="14"/>
  <c r="AC332" i="14"/>
  <c r="AB324" i="14"/>
  <c r="AB399" i="14"/>
  <c r="AB398" i="14"/>
  <c r="AC396" i="14"/>
  <c r="AA407" i="14"/>
  <c r="Z404" i="14"/>
  <c r="AA478" i="14"/>
  <c r="AA327" i="14"/>
  <c r="AA326" i="14"/>
  <c r="AA490" i="14"/>
  <c r="AA401" i="14"/>
  <c r="W412" i="14" l="1"/>
  <c r="W410" i="14"/>
  <c r="W406" i="14"/>
  <c r="X405" i="14" s="1"/>
  <c r="X408" i="14" s="1"/>
  <c r="X409" i="14" s="1"/>
  <c r="X413" i="14" s="1"/>
  <c r="T479" i="14"/>
  <c r="U475" i="14"/>
  <c r="U492" i="14"/>
  <c r="S505" i="14"/>
  <c r="S460" i="14"/>
  <c r="S462" i="14"/>
  <c r="S501" i="14"/>
  <c r="T457" i="14"/>
  <c r="T459" i="14"/>
  <c r="T448" i="14"/>
  <c r="T500" i="14" s="1"/>
  <c r="S500" i="14"/>
  <c r="S504" i="14"/>
  <c r="U422" i="14"/>
  <c r="U424" i="14" s="1"/>
  <c r="U476" i="14"/>
  <c r="V489" i="14"/>
  <c r="V491" i="14" s="1"/>
  <c r="V492" i="14" s="1"/>
  <c r="V414" i="14"/>
  <c r="V416" i="14" s="1"/>
  <c r="S470" i="14"/>
  <c r="AE393" i="14"/>
  <c r="AE392" i="14"/>
  <c r="AE330" i="14"/>
  <c r="AF390" i="14"/>
  <c r="AD332" i="14"/>
  <c r="AD333" i="14"/>
  <c r="AD477" i="14"/>
  <c r="AB327" i="14"/>
  <c r="AB478" i="14"/>
  <c r="AB407" i="14"/>
  <c r="AA404" i="14"/>
  <c r="AB326" i="14"/>
  <c r="AB401" i="14"/>
  <c r="AB490" i="14"/>
  <c r="AC398" i="14"/>
  <c r="AC327" i="14" s="1"/>
  <c r="AC399" i="14"/>
  <c r="AC401" i="14" s="1"/>
  <c r="AD396" i="14"/>
  <c r="AC476" i="14"/>
  <c r="AC324" i="14"/>
  <c r="W414" i="14" l="1"/>
  <c r="W416" i="14" s="1"/>
  <c r="W422" i="14" s="1"/>
  <c r="W424" i="14" s="1"/>
  <c r="W448" i="14" s="1"/>
  <c r="X410" i="14"/>
  <c r="X489" i="14" s="1"/>
  <c r="X491" i="14" s="1"/>
  <c r="X406" i="14"/>
  <c r="Y405" i="14" s="1"/>
  <c r="Y408" i="14" s="1"/>
  <c r="Y409" i="14" s="1"/>
  <c r="W489" i="14"/>
  <c r="W491" i="14" s="1"/>
  <c r="W492" i="14" s="1"/>
  <c r="T504" i="14"/>
  <c r="T462" i="14"/>
  <c r="T501" i="14"/>
  <c r="U459" i="14"/>
  <c r="U460" i="14" s="1"/>
  <c r="U448" i="14"/>
  <c r="U457" i="14"/>
  <c r="T460" i="14"/>
  <c r="V422" i="14"/>
  <c r="V424" i="14" s="1"/>
  <c r="V476" i="14"/>
  <c r="U479" i="14"/>
  <c r="V475" i="14"/>
  <c r="S471" i="14"/>
  <c r="T470" i="14"/>
  <c r="T505" i="14"/>
  <c r="AC407" i="14"/>
  <c r="AB404" i="14"/>
  <c r="AD399" i="14"/>
  <c r="AE396" i="14"/>
  <c r="AD324" i="14"/>
  <c r="AD398" i="14"/>
  <c r="AD327" i="14" s="1"/>
  <c r="AD476" i="14"/>
  <c r="AC326" i="14"/>
  <c r="AC490" i="14"/>
  <c r="AF392" i="14"/>
  <c r="AF330" i="14"/>
  <c r="AF393" i="14"/>
  <c r="AG390" i="14"/>
  <c r="AE477" i="14"/>
  <c r="AE333" i="14"/>
  <c r="AE332" i="14"/>
  <c r="X414" i="14" l="1"/>
  <c r="X416" i="14" s="1"/>
  <c r="X476" i="14" s="1"/>
  <c r="W476" i="14"/>
  <c r="W459" i="14"/>
  <c r="W457" i="14"/>
  <c r="U505" i="14"/>
  <c r="U462" i="14"/>
  <c r="U501" i="14"/>
  <c r="V479" i="14"/>
  <c r="W475" i="14"/>
  <c r="V448" i="14"/>
  <c r="W500" i="14" s="1"/>
  <c r="V457" i="14"/>
  <c r="V459" i="14"/>
  <c r="T471" i="14"/>
  <c r="U470" i="14"/>
  <c r="U500" i="14"/>
  <c r="U504" i="14"/>
  <c r="AF332" i="14"/>
  <c r="AF333" i="14"/>
  <c r="AF477" i="14"/>
  <c r="AD326" i="14"/>
  <c r="AD490" i="14"/>
  <c r="AD401" i="14"/>
  <c r="AC404" i="14"/>
  <c r="AD407" i="14"/>
  <c r="AE399" i="14"/>
  <c r="AE398" i="14"/>
  <c r="AE327" i="14" s="1"/>
  <c r="AE476" i="14"/>
  <c r="AE324" i="14"/>
  <c r="AF396" i="14"/>
  <c r="AG393" i="14"/>
  <c r="AG392" i="14"/>
  <c r="AG330" i="14"/>
  <c r="Y413" i="14"/>
  <c r="Y410" i="14"/>
  <c r="Y406" i="14"/>
  <c r="X492" i="14"/>
  <c r="X422" i="14" l="1"/>
  <c r="X424" i="14" s="1"/>
  <c r="X459" i="14" s="1"/>
  <c r="W501" i="14"/>
  <c r="W504" i="14"/>
  <c r="W460" i="14"/>
  <c r="V500" i="14"/>
  <c r="W505" i="14"/>
  <c r="V504" i="14"/>
  <c r="V462" i="14"/>
  <c r="W462" i="14" s="1"/>
  <c r="V501" i="14"/>
  <c r="V505" i="14"/>
  <c r="V460" i="14"/>
  <c r="U471" i="14"/>
  <c r="V470" i="14"/>
  <c r="X475" i="14"/>
  <c r="Y475" i="14" s="1"/>
  <c r="W479" i="14"/>
  <c r="AG477" i="14"/>
  <c r="AG333" i="14"/>
  <c r="AE326" i="14"/>
  <c r="AE401" i="14"/>
  <c r="AE490" i="14"/>
  <c r="AF399" i="14"/>
  <c r="AF398" i="14"/>
  <c r="AF327" i="14" s="1"/>
  <c r="AF476" i="14"/>
  <c r="AG396" i="14"/>
  <c r="AF324" i="14"/>
  <c r="AE407" i="14"/>
  <c r="AD404" i="14"/>
  <c r="AG332" i="14"/>
  <c r="Z405" i="14"/>
  <c r="Z408" i="14" s="1"/>
  <c r="Z409" i="14" s="1"/>
  <c r="Y414" i="14"/>
  <c r="Y416" i="14" s="1"/>
  <c r="Y489" i="14"/>
  <c r="Y491" i="14" s="1"/>
  <c r="X448" i="14" l="1"/>
  <c r="X500" i="14" s="1"/>
  <c r="X457" i="14"/>
  <c r="D515" i="14"/>
  <c r="X479" i="14"/>
  <c r="V471" i="14"/>
  <c r="W470" i="14"/>
  <c r="W471" i="14" s="1"/>
  <c r="AG324" i="14"/>
  <c r="AG399" i="14"/>
  <c r="AG398" i="14"/>
  <c r="AG327" i="14" s="1"/>
  <c r="AG476" i="14"/>
  <c r="AF326" i="14"/>
  <c r="AF401" i="14"/>
  <c r="AF490" i="14"/>
  <c r="AE404" i="14"/>
  <c r="AF407" i="14"/>
  <c r="Y476" i="14"/>
  <c r="Y479" i="14" s="1"/>
  <c r="Y422" i="14"/>
  <c r="Y424" i="14" s="1"/>
  <c r="Z410" i="14"/>
  <c r="Z413" i="14"/>
  <c r="Y492" i="14"/>
  <c r="Z406" i="14"/>
  <c r="X462" i="14"/>
  <c r="X505" i="14"/>
  <c r="X460" i="14"/>
  <c r="X501" i="14"/>
  <c r="AK29" i="11" l="1"/>
  <c r="X504" i="14"/>
  <c r="X470" i="14"/>
  <c r="X471" i="14" s="1"/>
  <c r="AF404" i="14"/>
  <c r="AG407" i="14"/>
  <c r="AG326" i="14"/>
  <c r="AG490" i="14"/>
  <c r="AG401" i="14"/>
  <c r="AG404" i="14" s="1"/>
  <c r="Z475" i="14"/>
  <c r="Z489" i="14"/>
  <c r="Z491" i="14" s="1"/>
  <c r="Z414" i="14"/>
  <c r="Z416" i="14" s="1"/>
  <c r="AA405" i="14"/>
  <c r="AA408" i="14" s="1"/>
  <c r="AA409" i="14" s="1"/>
  <c r="Y459" i="14"/>
  <c r="Y462" i="14" s="1"/>
  <c r="Y457" i="14"/>
  <c r="Y448" i="14"/>
  <c r="Y470" i="14" l="1"/>
  <c r="Y471" i="14" s="1"/>
  <c r="Y504" i="14"/>
  <c r="Y500" i="14"/>
  <c r="Y460" i="14"/>
  <c r="Y505" i="14"/>
  <c r="Y501" i="14"/>
  <c r="Z476" i="14"/>
  <c r="Z422" i="14"/>
  <c r="Z424" i="14" s="1"/>
  <c r="AA410" i="14"/>
  <c r="AA413" i="14"/>
  <c r="AA406" i="14"/>
  <c r="Z492" i="14"/>
  <c r="AB405" i="14" l="1"/>
  <c r="AB408" i="14" s="1"/>
  <c r="AB409" i="14" s="1"/>
  <c r="Z457" i="14"/>
  <c r="Z448" i="14"/>
  <c r="Z459" i="14"/>
  <c r="AA475" i="14"/>
  <c r="Z479" i="14"/>
  <c r="AA489" i="14"/>
  <c r="AA491" i="14" s="1"/>
  <c r="AA414" i="14"/>
  <c r="AA416" i="14" s="1"/>
  <c r="AB406" i="14" l="1"/>
  <c r="AA492" i="14"/>
  <c r="AA476" i="14"/>
  <c r="AB475" i="14" s="1"/>
  <c r="AA422" i="14"/>
  <c r="AA424" i="14" s="1"/>
  <c r="Z462" i="14"/>
  <c r="Z470" i="14"/>
  <c r="Z505" i="14"/>
  <c r="Z501" i="14"/>
  <c r="Z460" i="14"/>
  <c r="Z500" i="14"/>
  <c r="Z504" i="14"/>
  <c r="AB410" i="14"/>
  <c r="AB413" i="14"/>
  <c r="AC405" i="14" l="1"/>
  <c r="AC408" i="14" s="1"/>
  <c r="AC409" i="14" s="1"/>
  <c r="AA479" i="14"/>
  <c r="Z471" i="14"/>
  <c r="AA448" i="14"/>
  <c r="AA459" i="14"/>
  <c r="AA457" i="14"/>
  <c r="AB489" i="14"/>
  <c r="AB491" i="14" s="1"/>
  <c r="AB414" i="14"/>
  <c r="AB416" i="14" s="1"/>
  <c r="AB421" i="14" s="1"/>
  <c r="AC413" i="14" l="1"/>
  <c r="AC410" i="14"/>
  <c r="AC406" i="14"/>
  <c r="AA501" i="14"/>
  <c r="AA505" i="14"/>
  <c r="AA460" i="14"/>
  <c r="AA462" i="14"/>
  <c r="AB492" i="14"/>
  <c r="AA500" i="14"/>
  <c r="AA504" i="14"/>
  <c r="AB422" i="14"/>
  <c r="AB424" i="14" s="1"/>
  <c r="AB476" i="14"/>
  <c r="AB429" i="14"/>
  <c r="AA470" i="14"/>
  <c r="AD405" i="14" l="1"/>
  <c r="AD408" i="14" s="1"/>
  <c r="AD409" i="14" s="1"/>
  <c r="AC414" i="14"/>
  <c r="AC416" i="14" s="1"/>
  <c r="AC422" i="14" s="1"/>
  <c r="AC424" i="14" s="1"/>
  <c r="AC489" i="14"/>
  <c r="AC491" i="14" s="1"/>
  <c r="AC475" i="14"/>
  <c r="AB479" i="14"/>
  <c r="AB459" i="14"/>
  <c r="AB470" i="14" s="1"/>
  <c r="AB457" i="14"/>
  <c r="AB448" i="14"/>
  <c r="AA471" i="14"/>
  <c r="AC492" i="14" l="1"/>
  <c r="AD410" i="14"/>
  <c r="AD413" i="14"/>
  <c r="AC459" i="14"/>
  <c r="AC470" i="14" s="1"/>
  <c r="AC448" i="14"/>
  <c r="AC504" i="14" s="1"/>
  <c r="AC457" i="14"/>
  <c r="AD406" i="14"/>
  <c r="AB462" i="14"/>
  <c r="AB501" i="14"/>
  <c r="AB505" i="14"/>
  <c r="AB460" i="14"/>
  <c r="AB471" i="14"/>
  <c r="AB504" i="14"/>
  <c r="AB500" i="14"/>
  <c r="AC479" i="14"/>
  <c r="AD475" i="14"/>
  <c r="AC460" i="14" l="1"/>
  <c r="AC505" i="14"/>
  <c r="AC462" i="14"/>
  <c r="AE405" i="14"/>
  <c r="AE408" i="14" s="1"/>
  <c r="AE409" i="14" s="1"/>
  <c r="AD414" i="14"/>
  <c r="AD416" i="14" s="1"/>
  <c r="AD422" i="14" s="1"/>
  <c r="AD424" i="14" s="1"/>
  <c r="AD489" i="14"/>
  <c r="AD491" i="14" s="1"/>
  <c r="AC500" i="14"/>
  <c r="AC501" i="14"/>
  <c r="AC471" i="14"/>
  <c r="AE475" i="14"/>
  <c r="AD479" i="14"/>
  <c r="AD457" i="14" l="1"/>
  <c r="AD448" i="14"/>
  <c r="AD459" i="14"/>
  <c r="AD492" i="14"/>
  <c r="AE413" i="14"/>
  <c r="AE410" i="14"/>
  <c r="AE406" i="14"/>
  <c r="AF475" i="14"/>
  <c r="AE479" i="14"/>
  <c r="AE489" i="14" l="1"/>
  <c r="AE491" i="14" s="1"/>
  <c r="AE414" i="14"/>
  <c r="AE416" i="14" s="1"/>
  <c r="AE422" i="14" s="1"/>
  <c r="AE424" i="14" s="1"/>
  <c r="AF405" i="14"/>
  <c r="AF408" i="14" s="1"/>
  <c r="AF409" i="14" s="1"/>
  <c r="AD505" i="14"/>
  <c r="AD460" i="14"/>
  <c r="AD470" i="14"/>
  <c r="AD462" i="14"/>
  <c r="AD501" i="14"/>
  <c r="AD504" i="14"/>
  <c r="AD500" i="14"/>
  <c r="AG475" i="14"/>
  <c r="AG479" i="14" s="1"/>
  <c r="AF479" i="14"/>
  <c r="AD471" i="14" l="1"/>
  <c r="AF413" i="14"/>
  <c r="AF410" i="14"/>
  <c r="AF406" i="14"/>
  <c r="AE457" i="14"/>
  <c r="AE459" i="14"/>
  <c r="AE462" i="14" s="1"/>
  <c r="AE448" i="14"/>
  <c r="AE492" i="14"/>
  <c r="AE504" i="14" l="1"/>
  <c r="AE500" i="14"/>
  <c r="AG405" i="14"/>
  <c r="AG408" i="14" s="1"/>
  <c r="AG409" i="14" s="1"/>
  <c r="AE460" i="14"/>
  <c r="AE505" i="14"/>
  <c r="AE501" i="14"/>
  <c r="AF489" i="14"/>
  <c r="AF491" i="14" s="1"/>
  <c r="AF414" i="14"/>
  <c r="AF416" i="14" s="1"/>
  <c r="AF422" i="14" s="1"/>
  <c r="AF424" i="14" s="1"/>
  <c r="AE470" i="14"/>
  <c r="AG413" i="14" l="1"/>
  <c r="AG410" i="14"/>
  <c r="AF457" i="14"/>
  <c r="AF448" i="14"/>
  <c r="AF459" i="14"/>
  <c r="AF470" i="14" s="1"/>
  <c r="AF492" i="14"/>
  <c r="AG406" i="14"/>
  <c r="AE471" i="14"/>
  <c r="AF471" i="14" l="1"/>
  <c r="AF505" i="14"/>
  <c r="AF501" i="14"/>
  <c r="AF460" i="14"/>
  <c r="AF462" i="14"/>
  <c r="AF500" i="14"/>
  <c r="AF504" i="14"/>
  <c r="AG489" i="14"/>
  <c r="AG491" i="14" s="1"/>
  <c r="AG492" i="14" s="1"/>
  <c r="D510" i="14" s="1"/>
  <c r="AG414" i="14"/>
  <c r="AG416" i="14" s="1"/>
  <c r="AG422" i="14" s="1"/>
  <c r="AG424" i="14" l="1"/>
  <c r="AG448" i="14" s="1"/>
  <c r="G422" i="14"/>
  <c r="D516" i="14" s="1"/>
  <c r="D517" i="14" s="1"/>
  <c r="AO27" i="11"/>
  <c r="AG457" i="14" l="1"/>
  <c r="AK30" i="11"/>
  <c r="AG459" i="14"/>
  <c r="AG470" i="14" s="1"/>
  <c r="AG471" i="14" s="1"/>
  <c r="AG504" i="14"/>
  <c r="D513" i="14" s="1"/>
  <c r="AG500" i="14"/>
  <c r="D511" i="14" s="1"/>
  <c r="AG462" i="14" l="1"/>
  <c r="AG501" i="14"/>
  <c r="D512" i="14" s="1"/>
  <c r="AK26" i="11" s="1"/>
  <c r="AG460" i="14"/>
  <c r="AG505" i="14"/>
  <c r="D514" i="14" s="1"/>
  <c r="AK28" i="11" s="1"/>
  <c r="AK25" i="11"/>
  <c r="AK2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tc={D1ABD2B8-3BDB-4BBF-A5A8-0D083C1B6F84}</author>
  </authors>
  <commentList>
    <comment ref="C279" authorId="0" shapeId="0" xr:uid="{D1ABD2B8-3BDB-4BBF-A5A8-0D083C1B6F84}">
      <text>
        <t>[Threaded comment]
Your version of Excel allows you to read this threaded comment; however, any edits to it will get removed if the file is opened in a newer version of Excel. Learn more: https://go.microsoft.com/fwlink/?linkid=870924
Comment:
    Is project development cost also to be depreciated?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tc={44B047F7-A23E-404A-AF46-1B42813091A9}</author>
    <author>tc={B310EC98-6275-4D72-8BED-3A38621D2D78}</author>
  </authors>
  <commentList>
    <comment ref="B16" authorId="0" shapeId="0" xr:uid="{44B047F7-A23E-404A-AF46-1B42813091A9}">
      <text>
        <t>[Threaded comment]
Your version of Excel allows you to read this threaded comment; however, any edits to it will get removed if the file is opened in a newer version of Excel. Learn more: https://go.microsoft.com/fwlink/?linkid=870924
Comment:
    Review once again-NR</t>
      </text>
    </comment>
    <comment ref="D40" authorId="1" shapeId="0" xr:uid="{B310EC98-6275-4D72-8BED-3A38621D2D78}">
      <text>
        <t xml:space="preserve">[Threaded comment]
Your version of Excel allows you to read this threaded comment; however, any edits to it will get removed if the file is opened in a newer version of Excel. Learn more: https://go.microsoft.com/fwlink/?linkid=870924
Comment:
    Distance taken as 10 meters for each inverter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tc={9D586481-03ED-4D3F-AE40-1AB226A2F25A}</author>
    <author>tc={EE8CE91A-15E9-483B-AB41-78330CB4406D}</author>
  </authors>
  <commentList>
    <comment ref="E49" authorId="0" shapeId="0" xr:uid="{9D586481-03ED-4D3F-AE40-1AB226A2F25A}">
      <text>
        <t xml:space="preserve">[Threaded comment]
Your version of Excel allows you to read this threaded comment; however, any edits to it will get removed if the file is opened in a newer version of Excel. Learn more: https://go.microsoft.com/fwlink/?linkid=870924
Comment:
    Assuming all the modules are connected in series for  a string
</t>
      </text>
    </comment>
    <comment ref="E54" authorId="1" shapeId="0" xr:uid="{EE8CE91A-15E9-483B-AB41-78330CB4406D}">
      <text>
        <t>[Threaded comment]
Your version of Excel allows you to read this threaded comment; however, any edits to it will get removed if the file is opened in a newer version of Excel. Learn more: https://go.microsoft.com/fwlink/?linkid=870924
Comment:
    Designer may choose any other value depending upon the requirement. This is the standard value used.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<sst xmlns="http://schemas.openxmlformats.org/spreadsheetml/2006/main" count="1105" uniqueCount="721">
  <si>
    <t>Nipun Regmi</t>
  </si>
  <si>
    <t>About</t>
  </si>
  <si>
    <t>Limitations</t>
  </si>
  <si>
    <t>Assumptions</t>
  </si>
  <si>
    <t>Full Name of the Beneficiary</t>
  </si>
  <si>
    <t>Mobile No.</t>
  </si>
  <si>
    <t>Mobile number of the beneficiary</t>
  </si>
  <si>
    <t>Province</t>
  </si>
  <si>
    <t>District</t>
  </si>
  <si>
    <t>Municipality/Rural Municipality</t>
  </si>
  <si>
    <t>Ward No.</t>
  </si>
  <si>
    <t>Tole/Locality name</t>
  </si>
  <si>
    <t>GPS Coordinates (DMS)</t>
  </si>
  <si>
    <t>Load Type</t>
  </si>
  <si>
    <t>Installation Type</t>
  </si>
  <si>
    <t>DESIGNER INFORMATION</t>
  </si>
  <si>
    <t>Full name of designer</t>
  </si>
  <si>
    <t>Designation of the designer</t>
  </si>
  <si>
    <t>Name of the office</t>
  </si>
  <si>
    <t>Date (mm/dd/yyyy)</t>
  </si>
  <si>
    <t>DESIGN INPUTS</t>
  </si>
  <si>
    <t>Total Available Space (Sq. Mtr)</t>
  </si>
  <si>
    <t>Roof type/Mounting</t>
  </si>
  <si>
    <t>What kind of roof space is available, If installation is to be conducted on rooftop</t>
  </si>
  <si>
    <t>Total Height of the building (meters)</t>
  </si>
  <si>
    <t>Roof Tilt Angle (Degrees)</t>
  </si>
  <si>
    <t xml:space="preserve">This value determines the angle at which the roof is tilted. </t>
  </si>
  <si>
    <t>Grid Supply Phase</t>
  </si>
  <si>
    <t>This value is required to select between the existing grid supply, either Single Phase or Three Phase</t>
  </si>
  <si>
    <t>Grid Supply Voltage(Volts)</t>
  </si>
  <si>
    <t>The voltage level that is available at the evacuation point must be inserted</t>
  </si>
  <si>
    <t>Remote Monitoring Unit</t>
  </si>
  <si>
    <t>The user can choose an option if they require a Remote Monitoring Unit Or Not</t>
  </si>
  <si>
    <t>Bidirectional Energy Meter</t>
  </si>
  <si>
    <t>The user can choose an option if they require a Bidirectional Energy Meter Or Not</t>
  </si>
  <si>
    <t>Solar PV modules</t>
  </si>
  <si>
    <t>Disclaimer</t>
  </si>
  <si>
    <t>Notes from Designer</t>
  </si>
  <si>
    <t>SN</t>
  </si>
  <si>
    <t>Component</t>
  </si>
  <si>
    <t xml:space="preserve">Specification </t>
  </si>
  <si>
    <t>Qty</t>
  </si>
  <si>
    <t>Units</t>
  </si>
  <si>
    <t>Unit Cost (NPR.)</t>
  </si>
  <si>
    <t>Non-Vatable amount (NPR)</t>
  </si>
  <si>
    <t>Vatable amount (NPR)</t>
  </si>
  <si>
    <t>General Information</t>
  </si>
  <si>
    <t>Applicant:</t>
  </si>
  <si>
    <t>Province:</t>
  </si>
  <si>
    <t>District:</t>
  </si>
  <si>
    <t>Ward No.:</t>
  </si>
  <si>
    <t>Locality:</t>
  </si>
  <si>
    <t>GPS Coordinates:</t>
  </si>
  <si>
    <t>Designer:</t>
  </si>
  <si>
    <t>Designation:</t>
  </si>
  <si>
    <t>Office:</t>
  </si>
  <si>
    <t>Solar Array:</t>
  </si>
  <si>
    <t>kW</t>
  </si>
  <si>
    <t>Requirement</t>
  </si>
  <si>
    <t>Solar inverter:</t>
  </si>
  <si>
    <t>MCCB:</t>
  </si>
  <si>
    <t>Roof type/Mounting:</t>
  </si>
  <si>
    <t>kWp</t>
  </si>
  <si>
    <t>Required Area</t>
  </si>
  <si>
    <t>Sq. Mtr</t>
  </si>
  <si>
    <t>Sub-Total</t>
  </si>
  <si>
    <t>VAT(13%)</t>
  </si>
  <si>
    <t>System Details</t>
  </si>
  <si>
    <t>Grand Total</t>
  </si>
  <si>
    <t>Solar PV Capacity:</t>
  </si>
  <si>
    <t>Inverter Capacity:</t>
  </si>
  <si>
    <t>Total Nos. Of inverter:</t>
  </si>
  <si>
    <t>Nos.</t>
  </si>
  <si>
    <t>Remote Monitoring:</t>
  </si>
  <si>
    <t>Generation/Year</t>
  </si>
  <si>
    <t>kWh/Year</t>
  </si>
  <si>
    <t>Cost</t>
  </si>
  <si>
    <t>System Cost (NPR)</t>
  </si>
  <si>
    <t>Cost/Wp (NPR)</t>
  </si>
  <si>
    <t>NPR/Wp</t>
  </si>
  <si>
    <t>Remarks</t>
  </si>
  <si>
    <t>Solar Panel</t>
  </si>
  <si>
    <t>Rs. 35/Watt</t>
  </si>
  <si>
    <t>Rs.9/Watt</t>
  </si>
  <si>
    <t>Grid Connected Inverter</t>
  </si>
  <si>
    <t>Pcs.</t>
  </si>
  <si>
    <t>Price Reference-SMA</t>
  </si>
  <si>
    <t>As per the selected inverter</t>
  </si>
  <si>
    <t>Standard Average Pricing</t>
  </si>
  <si>
    <t>Energy Meter</t>
  </si>
  <si>
    <t>NEA Standard</t>
  </si>
  <si>
    <t>DC Cable (PV Strings)</t>
  </si>
  <si>
    <t>4Sq.mm, 1100V, 1 Core</t>
  </si>
  <si>
    <t>Meters</t>
  </si>
  <si>
    <t>DC Cable(From Array to Power House)</t>
  </si>
  <si>
    <t>Kathmandu District Rate 77/78</t>
  </si>
  <si>
    <t>DC MCB-String</t>
  </si>
  <si>
    <t>20A/1000V</t>
  </si>
  <si>
    <t>AC MCB/MCCB-25kA</t>
  </si>
  <si>
    <t>PV Combiner Box</t>
  </si>
  <si>
    <t>IP66 with in-built SPD</t>
  </si>
  <si>
    <t>Lightning Arrestor</t>
  </si>
  <si>
    <t>Earthing rod</t>
  </si>
  <si>
    <t>Chemical Earthing</t>
  </si>
  <si>
    <t>Copper Strip &amp; Insulators</t>
  </si>
  <si>
    <t>25 x 5, Approx, 1.5 mtr. =1kg</t>
  </si>
  <si>
    <t>kg</t>
  </si>
  <si>
    <t>Installation Accessories</t>
  </si>
  <si>
    <t>nut bolts, cable tie, tapes, conduits, cable tray etc.</t>
  </si>
  <si>
    <t>LS</t>
  </si>
  <si>
    <t>Rs. 8/Wp</t>
  </si>
  <si>
    <t>Installation Labor &amp; Transportation</t>
  </si>
  <si>
    <t>Skilled, Semi-Skilled Technician, Engineer etc.</t>
  </si>
  <si>
    <t>Ls</t>
  </si>
  <si>
    <t>Rs. 6/Wp</t>
  </si>
  <si>
    <t>Contigency-5%</t>
  </si>
  <si>
    <t>5% of the total cost</t>
  </si>
  <si>
    <t>NPR</t>
  </si>
  <si>
    <t>Solar Rooftop Design and Estimation Template</t>
  </si>
  <si>
    <t>Requirements</t>
  </si>
  <si>
    <t>Inputs</t>
  </si>
  <si>
    <t>Total available rooftop Area (L x B in meters)</t>
  </si>
  <si>
    <t>Total System Size (kW)</t>
  </si>
  <si>
    <t>Type of the rooftop (RCC, CGI Sheet with truss, Others)</t>
  </si>
  <si>
    <t>SOLAR PV SIZING</t>
  </si>
  <si>
    <t>Option 1: AREA PROVIDED; ASSUMPTION, 1kW = 10Sq. Mtr</t>
  </si>
  <si>
    <t>Option 2: SOLAR PV SIZE GIVEN ; ASSUMPTION, 1kW = 10Sq. Mtr</t>
  </si>
  <si>
    <t>Total Solar PV Size Required</t>
  </si>
  <si>
    <t>SOLAR PV ARRAY SIZING</t>
  </si>
  <si>
    <t>Total size of the PV System</t>
  </si>
  <si>
    <t>Reference Solar PV Module (Wp)- Trina Solar</t>
  </si>
  <si>
    <t>Vmp (V)</t>
  </si>
  <si>
    <t>Imp (A)</t>
  </si>
  <si>
    <t>Voc (V)</t>
  </si>
  <si>
    <t>Isc (A)</t>
  </si>
  <si>
    <t>INVERTER SIZING</t>
  </si>
  <si>
    <t>Size of the Inverter Required (kW)</t>
  </si>
  <si>
    <t>Available Inverter Size (kW)</t>
  </si>
  <si>
    <t>Nos. of Inverter</t>
  </si>
  <si>
    <t>CABLE SIZING-DC</t>
  </si>
  <si>
    <t>Module Wiring (mm2)</t>
  </si>
  <si>
    <t>Asssumption: Max, distance for a string is 50 mtrs. , 16 in series</t>
  </si>
  <si>
    <t>Array to Power House</t>
  </si>
  <si>
    <t>Assumption: 16 modules per string</t>
  </si>
  <si>
    <t>MCB/MCCB O/P</t>
  </si>
  <si>
    <t>Inverter Size (Watts)</t>
  </si>
  <si>
    <t>Inverter Size (VA)</t>
  </si>
  <si>
    <t>Current Draw (Amp)</t>
  </si>
  <si>
    <t>Rated Current for MCB (Amp)</t>
  </si>
  <si>
    <t>Market Available Size (Amp)</t>
  </si>
  <si>
    <t>Nos. Of MCB/MCCB</t>
  </si>
  <si>
    <t>Nos. of Modules Used</t>
  </si>
  <si>
    <t>Capacity of each Module (Watts)</t>
  </si>
  <si>
    <t>System Size (kW)</t>
  </si>
  <si>
    <t>Size of the PV system(kW)</t>
  </si>
  <si>
    <t>Peak Sun Hour</t>
  </si>
  <si>
    <t>CABLE SIZING-AC</t>
  </si>
  <si>
    <t>Inverter to AC Combiner Box</t>
  </si>
  <si>
    <t>Diff. from estimate</t>
  </si>
  <si>
    <t>Inverter Sizes</t>
  </si>
  <si>
    <t>MCB/MCCB Size</t>
  </si>
  <si>
    <t>Difference from Estimate</t>
  </si>
  <si>
    <t>Size of the Cable (Sq. mm)</t>
  </si>
  <si>
    <t>Ampere</t>
  </si>
  <si>
    <t>AC Wire Sizing Chart</t>
  </si>
  <si>
    <t>Adopted Wire Sizing Formulae</t>
  </si>
  <si>
    <t>Wire Size in circular mills     =      (d*2*I*k)/(V*Vd)</t>
  </si>
  <si>
    <t>where,</t>
  </si>
  <si>
    <r>
      <t>·</t>
    </r>
    <r>
      <rPr>
        <sz val="7"/>
        <color rgb="FF000000"/>
        <rFont val="Times New Roman"/>
        <family val="1"/>
      </rPr>
      <t xml:space="preserve">    </t>
    </r>
    <r>
      <rPr>
        <sz val="9"/>
        <color rgb="FF000000"/>
        <rFont val="Verdana"/>
        <family val="2"/>
      </rPr>
      <t>d = 1-way wire distance</t>
    </r>
  </si>
  <si>
    <r>
      <t>·</t>
    </r>
    <r>
      <rPr>
        <sz val="7"/>
        <color rgb="FF000000"/>
        <rFont val="Times New Roman"/>
        <family val="1"/>
      </rPr>
      <t xml:space="preserve">    </t>
    </r>
    <r>
      <rPr>
        <sz val="9"/>
        <color rgb="FF000000"/>
        <rFont val="Verdana"/>
        <family val="2"/>
      </rPr>
      <t>I = Maximum continuous current rating of the inverter</t>
    </r>
  </si>
  <si>
    <r>
      <t>·</t>
    </r>
    <r>
      <rPr>
        <sz val="7"/>
        <color rgb="FF000000"/>
        <rFont val="Times New Roman"/>
        <family val="1"/>
      </rPr>
      <t xml:space="preserve">    </t>
    </r>
    <r>
      <rPr>
        <sz val="9"/>
        <color rgb="FF000000"/>
        <rFont val="Verdana"/>
        <family val="2"/>
      </rPr>
      <t>V = Nominal utility voltage (i.e. 240, 208 etc.)</t>
    </r>
  </si>
  <si>
    <r>
      <t>·</t>
    </r>
    <r>
      <rPr>
        <sz val="7"/>
        <color rgb="FF000000"/>
        <rFont val="Times New Roman"/>
        <family val="1"/>
      </rPr>
      <t xml:space="preserve">    </t>
    </r>
    <r>
      <rPr>
        <sz val="9"/>
        <color rgb="FF000000"/>
        <rFont val="Verdana"/>
        <family val="2"/>
      </rPr>
      <t>V_d = Percentage voltage drop, for 1%  , 0.01</t>
    </r>
  </si>
  <si>
    <r>
      <t>·</t>
    </r>
    <r>
      <rPr>
        <sz val="7"/>
        <color rgb="FF000000"/>
        <rFont val="Times New Roman"/>
        <family val="1"/>
      </rPr>
      <t xml:space="preserve">    </t>
    </r>
    <r>
      <rPr>
        <sz val="9"/>
        <color rgb="FF000000"/>
        <rFont val="Verdana"/>
        <family val="2"/>
      </rPr>
      <t>k = thermal conductivity of the "K- Factor" of a metal; for Copper use 12.9</t>
    </r>
  </si>
  <si>
    <t xml:space="preserve">Approximate Wire Sizing </t>
  </si>
  <si>
    <t>S.no.</t>
  </si>
  <si>
    <t>AC Wire Description</t>
  </si>
  <si>
    <t>Length in meter</t>
  </si>
  <si>
    <t>Allowable % Voltage drop</t>
  </si>
  <si>
    <t>Max current in Ampere</t>
  </si>
  <si>
    <t>Wire Size in circular mills</t>
  </si>
  <si>
    <t>Available nearest Size wire (mm2) / phase</t>
  </si>
  <si>
    <t>CM</t>
  </si>
  <si>
    <t>MM2</t>
  </si>
  <si>
    <t>Size</t>
  </si>
  <si>
    <t xml:space="preserve">Price </t>
  </si>
  <si>
    <t>Type</t>
  </si>
  <si>
    <t>ESE Type</t>
  </si>
  <si>
    <t>Copper Spike</t>
  </si>
  <si>
    <t>Copper Strip (25 x 3) / Kg</t>
  </si>
  <si>
    <t>Date</t>
  </si>
  <si>
    <t>AC Cable from String 
Inverters to AC Combiner Box</t>
  </si>
  <si>
    <t>Area mm2  (equivalent)</t>
  </si>
  <si>
    <t>Voltage System (V)</t>
  </si>
  <si>
    <t>Solar Rooftop (SRT) Initial System Planning Tool</t>
  </si>
  <si>
    <t>This design workbook uses one particular specificaiton of PV module and Grid Tied Inverter. 
However, this won't be reflected in the BoQ or have impacts on the design and output.</t>
  </si>
  <si>
    <t>The designer (or the user) shall only have to enter project data in the 'Inputs' sheet. All other sheets are interlinked and a report is generated in the 'Report' sheet. The designer may update the pricing in the 'Price reference' sheet.</t>
  </si>
  <si>
    <t>The designer may select the Balance of Systems of their choice with simple Required/Not Required function in the 'Inputs' sheet. This will result in inclusion or exclusion of the component in the BoQ.</t>
  </si>
  <si>
    <t>This design workbook is meant to estimate the basic design and cost of the system, detailed design must be done before commencement of project. This design tool is for grid tied system only (with no battery backup)</t>
  </si>
  <si>
    <t xml:space="preserve">The cost of the materials have been included for reference purpose only and not as per the current district rate. The pricelist section must be updated every year and a separate window to enter the pricelist of indicated items must be there in the web design </t>
  </si>
  <si>
    <t>The size of the inverters above 25kW will have inverters size with respect to closest value of multiples of 25kW size inverter only.</t>
  </si>
  <si>
    <t>This design workbook serves as a basic sizing tool to estimate the key On-Grid Solar PV system component sizes and system costs. It shall not be used for detail design and costing.</t>
  </si>
  <si>
    <t>Dropdown options</t>
  </si>
  <si>
    <t>Linked cells</t>
  </si>
  <si>
    <r>
      <t>The peak sun hours used for the system design is 4.5 kWh/M</t>
    </r>
    <r>
      <rPr>
        <vertAlign val="superscript"/>
        <sz val="10"/>
        <color theme="1"/>
        <rFont val="Calibri"/>
        <family val="2"/>
        <scheme val="minor"/>
      </rPr>
      <t xml:space="preserve">2 </t>
    </r>
    <r>
      <rPr>
        <sz val="10"/>
        <color theme="1"/>
        <rFont val="Calibri"/>
        <family val="2"/>
        <scheme val="minor"/>
      </rPr>
      <t>per day; Losses calculated as 30%</t>
    </r>
  </si>
  <si>
    <t>The assumed specifications of the Balance of Systems are described in the 'Price reference' sheet.</t>
  </si>
  <si>
    <t>A contingency of 5% is added before the VAT to the total system cost.</t>
  </si>
  <si>
    <t>Minor components like nut bolts, cable ties, washers, glands, tapes, conduits etc. are taken is lump sum</t>
  </si>
  <si>
    <t>Legend</t>
  </si>
  <si>
    <t>Benificiary Information</t>
  </si>
  <si>
    <t>Comments and/or supporting information (English)</t>
  </si>
  <si>
    <t>kg/year</t>
  </si>
  <si>
    <t>CO2 Emission Avoided</t>
  </si>
  <si>
    <t>Municipality:</t>
  </si>
  <si>
    <t>Is required Area available?</t>
  </si>
  <si>
    <t>This basic design serves to estimate the key SRT component sizes and  system costs. 
It shall not be used  for detail design and costing.</t>
  </si>
  <si>
    <t>No. of inverters:</t>
  </si>
  <si>
    <t>#</t>
  </si>
  <si>
    <t>यो डिजाइन कार्यपुस्तिकाले अन-ग्रिड सौर्य PV प्रणाली कम्पोनेन्ट आकार र प्रणाली लागत अनुमान गर्न आधारभूत साइजिङ उपकरणको रूपमा कार्य गर्दछ। यसलाई विस्तृत डिजाइन र लागतको लागि प्रयोग गरिने छैन।</t>
  </si>
  <si>
    <t>यस डिजाइन कार्यपुस्तिकाले PV मोड्युल र ग्रिड टाइड इन्भर्टरको एउटा विशेष स्पेसिफिकेशन प्रयोग गरेको छ।
यद्यपि, यो BoQ मा प्रतिबिम्बित हुनेछैन वा डिजाइन र आउटपुटमा प्रभाव पार्नेछैन।</t>
  </si>
  <si>
    <r>
      <t xml:space="preserve">
डिजाइनर (वा प्रयोगकर्ता) ले '</t>
    </r>
    <r>
      <rPr>
        <b/>
        <sz val="10"/>
        <color theme="1"/>
        <rFont val="Calibri"/>
        <family val="2"/>
        <scheme val="minor"/>
      </rPr>
      <t>Inputs</t>
    </r>
    <r>
      <rPr>
        <sz val="10"/>
        <color theme="1"/>
        <rFont val="Calibri"/>
        <family val="2"/>
        <scheme val="minor"/>
      </rPr>
      <t>' पानामा मात्र परियोजना डाटा प्रविष्ट गर्नुपर्नेछ। अन्य सबै पानाहरू आपसमा जोडिएका छन् र '</t>
    </r>
    <r>
      <rPr>
        <b/>
        <sz val="10"/>
        <color theme="1"/>
        <rFont val="Calibri"/>
        <family val="2"/>
        <scheme val="minor"/>
      </rPr>
      <t>Report</t>
    </r>
    <r>
      <rPr>
        <sz val="10"/>
        <color theme="1"/>
        <rFont val="Calibri"/>
        <family val="2"/>
        <scheme val="minor"/>
      </rPr>
      <t>' पानामा रिपोर्ट उत्पन्न हुन्छ। डिजाइनरले '</t>
    </r>
    <r>
      <rPr>
        <b/>
        <sz val="10"/>
        <color theme="1"/>
        <rFont val="Calibri"/>
        <family val="2"/>
        <scheme val="minor"/>
      </rPr>
      <t>Price reference</t>
    </r>
    <r>
      <rPr>
        <sz val="10"/>
        <color theme="1"/>
        <rFont val="Calibri"/>
        <family val="2"/>
        <scheme val="minor"/>
      </rPr>
      <t>' पानामा मूल्य निर्धारण अद्यावधिक गर्न सक्छ।</t>
    </r>
  </si>
  <si>
    <r>
      <t xml:space="preserve">
डिजाइनरले '</t>
    </r>
    <r>
      <rPr>
        <b/>
        <sz val="10"/>
        <color theme="1"/>
        <rFont val="Calibri"/>
        <family val="2"/>
        <scheme val="minor"/>
      </rPr>
      <t>Inputs</t>
    </r>
    <r>
      <rPr>
        <sz val="10"/>
        <color theme="1"/>
        <rFont val="Calibri"/>
        <family val="2"/>
        <scheme val="minor"/>
      </rPr>
      <t xml:space="preserve">' पानामा </t>
    </r>
    <r>
      <rPr>
        <b/>
        <sz val="10"/>
        <color theme="1"/>
        <rFont val="Calibri"/>
        <family val="2"/>
        <scheme val="minor"/>
      </rPr>
      <t>आवश्यक छ/आवश्यक छैन</t>
    </r>
    <r>
      <rPr>
        <sz val="10"/>
        <color theme="1"/>
        <rFont val="Calibri"/>
        <family val="2"/>
        <scheme val="minor"/>
      </rPr>
      <t xml:space="preserve"> प्रकार्यको साथ आफ्नो मनपर्ने प्रणालीहरूको चयन गर्न सक्छ। यसले BoQ मा कम्पोनेन्ट समावेश वा बहिष्कारको परिणाम दिनेछ।</t>
    </r>
  </si>
  <si>
    <r>
      <t xml:space="preserve">
यो डिजाइन कार्यपुस्तिका प्रणालीको आधारभूत डिजाइन र लागत अनुमान गर्नको लागि मात्र हो। विस्तृत डिजाइन, परियोजना सुरु हुनु अघि गर्नुपर्छ। यो डिजाइन उपकरण </t>
    </r>
    <r>
      <rPr>
        <b/>
        <sz val="10"/>
        <color theme="1"/>
        <rFont val="Calibri"/>
        <family val="2"/>
        <scheme val="minor"/>
      </rPr>
      <t>Grid connected solar PV</t>
    </r>
    <r>
      <rPr>
        <sz val="10"/>
        <color theme="1"/>
        <rFont val="Calibri"/>
        <family val="2"/>
        <scheme val="minor"/>
      </rPr>
      <t xml:space="preserve"> प्रणालीको लागि मात्र हो (कुनै ब्याट्री ब्याकअप बिना)</t>
    </r>
  </si>
  <si>
    <r>
      <t xml:space="preserve">सामग्रीको मूल्य हालको जिल्ला दर अनुसार Reference प्रयोजनको लागि मात्र समावेश गरिएको छ। </t>
    </r>
    <r>
      <rPr>
        <b/>
        <sz val="10"/>
        <color theme="1"/>
        <rFont val="Calibri"/>
        <family val="2"/>
        <scheme val="minor"/>
      </rPr>
      <t>Price reference</t>
    </r>
    <r>
      <rPr>
        <sz val="10"/>
        <color theme="1"/>
        <rFont val="Calibri"/>
        <family val="2"/>
        <scheme val="minor"/>
      </rPr>
      <t xml:space="preserve"> खण्ड प्रत्येक वर्ष अद्यावधिक गरिनुपर्छ।</t>
    </r>
  </si>
  <si>
    <t>25kW भन्दा माथिको इन्भर्टरको साइजमा 25kW साइजको इन्भर्टरको गुणकको निकटतम मानको सन्दर्भमा इन्भर्टरको साइज हुनेछ।</t>
  </si>
  <si>
    <t>नट बोल्ट, केबल टाई, धुने, ग्रन्थी, टेप, कन्ड्युइट्स आदि जस्ता साना कम्पोनेन्टहरू एकमुष्ट लिइन्छ।</t>
  </si>
  <si>
    <r>
      <t>प्रणालीको Balance of system अनुमानित विनिर्देशहरू '</t>
    </r>
    <r>
      <rPr>
        <b/>
        <sz val="10"/>
        <color theme="1"/>
        <rFont val="Calibri"/>
        <family val="2"/>
        <scheme val="minor"/>
      </rPr>
      <t>Price Reference</t>
    </r>
    <r>
      <rPr>
        <sz val="10"/>
        <color theme="1"/>
        <rFont val="Calibri"/>
        <family val="2"/>
        <scheme val="minor"/>
      </rPr>
      <t>' पानामा वर्णन गरिएको छ।</t>
    </r>
  </si>
  <si>
    <t xml:space="preserve">
कुल प्रणाली लागतमा VAT अघि 5% को आकस्मिकता थपिएको छ।</t>
  </si>
  <si>
    <t>Inputs to be provided by the user</t>
  </si>
  <si>
    <t>प्रयोगकर्ताद्वारा प्रदान गरिने इनपुटहरू</t>
  </si>
  <si>
    <t xml:space="preserve">
पूर्व र दक्षिण दिशाबाट कुनै छायांकन समस्याहरू बिना स्थापनाको लागि कुल उपलब्ध ठाउँ</t>
  </si>
  <si>
    <t>अनुमान: 1kW लाई ~ 10Sq.mtrs छायांकन मुक्त क्षेत्र चाहिन्छ, मर्मत र सरसफाइ उद्देश्यका लागि बीचमा खाली ठाउँहरू समावेश गरी</t>
  </si>
  <si>
    <t xml:space="preserve">
कस्तो प्रकारको छत उपलब्ध छ, यदि सौर प्यानल छतमा स्थापना गर्ने हो भने</t>
  </si>
  <si>
    <t>उपलब्ध ठाउँ कुन दिशा तर्फ अभिमुखीकरण भएको छ</t>
  </si>
  <si>
    <t>The cell will allow the designer to insert input by choosing between Required system size or Available Space for design purpose, based on the selection done at B24</t>
  </si>
  <si>
    <t>B24 मा गरिएको छनोटको आधारमा यो सेलले डिजाइनरलाई आवश्यक प्रणाली साइज वा डिजाइन गर्न का लागि उपलब्ध ठाउँको आधारमा,  छनोट गरेर Input गर्ने अनुमति दिनेछ।</t>
  </si>
  <si>
    <t>यो मानले छत झुकेको कोण निर्धारण गर्छ।</t>
  </si>
  <si>
    <t>यो मान अवस्थित ग्रिड आपूर्ति, 1-phase वा 3-phase बीच चयन गर्न आवश्यक छ</t>
  </si>
  <si>
    <t>निकासी बिन्दुमा उपलब्ध भोल्टेज सम्मिलित गर्नु पर्छ</t>
  </si>
  <si>
    <t>This value will be used to calculate the wind loading requirements for solar support structure ( in the detailed design phase)</t>
  </si>
  <si>
    <t xml:space="preserve">
यो मान Solar support संरचनाको लागि हावाको लोडिङको आवश्यकताहरू गणना गर्न प्रयोग गरिनेछ (विस्तृत डिजाइन चरणमा)</t>
  </si>
  <si>
    <t>This value will be used to calculate the cable sizing requirements</t>
  </si>
  <si>
    <t>यो मान केबल साइजिङ आवश्यकताहरू गणना गर्न प्रयोग गरिनेछ</t>
  </si>
  <si>
    <t>प्रयोगकर्ताले Bidirectional ऊर्जा मिटर आवश्यक छ वा छैन भन्ने विकल्प रोज्न सक्छन्</t>
  </si>
  <si>
    <t>प्रयोगकर्ताले रिमोट मोनिटरिङ युनिट चाहिन्छ वा चाहिदैन  भन्ने विकल्प रोज्न सक्छन्</t>
  </si>
  <si>
    <t>Non-Vatable 
amount (NPR)</t>
  </si>
  <si>
    <t>Vatable 
amount (NPR)</t>
  </si>
  <si>
    <r>
      <t>प्रणालीको डिजाइनको लागि प्रयोग हुने अधिकतम सूर्य घण्टा 4.5 kWh/M</t>
    </r>
    <r>
      <rPr>
        <vertAlign val="superscript"/>
        <sz val="10"/>
        <color theme="1"/>
        <rFont val="Calibri"/>
        <family val="2"/>
        <scheme val="minor"/>
      </rPr>
      <t>2</t>
    </r>
    <r>
      <rPr>
        <sz val="10"/>
        <color theme="1"/>
        <rFont val="Calibri"/>
        <family val="2"/>
        <scheme val="minor"/>
      </rPr>
      <t xml:space="preserve"> प्रति दिन 
लिएका छौं; घाटा 30% को रूपमा गणना गरिने छ​।</t>
    </r>
  </si>
  <si>
    <t>Required Size of the system (kW)</t>
  </si>
  <si>
    <t>Kathmandu District Rate 77/78; Size: Assuming Max. 50 meters distance for a single string and 16 modules/string; Per module cable length=1.5mtrs</t>
  </si>
  <si>
    <t>Project Year</t>
  </si>
  <si>
    <t>Calendar Year</t>
  </si>
  <si>
    <t>Project Setup</t>
  </si>
  <si>
    <t>Key Assumptions</t>
  </si>
  <si>
    <t>Time Related Parameters</t>
  </si>
  <si>
    <t>Project Start Year</t>
  </si>
  <si>
    <t>Start of Loan</t>
  </si>
  <si>
    <t>Baseline beginning year</t>
  </si>
  <si>
    <t>Project Life</t>
  </si>
  <si>
    <t>years</t>
  </si>
  <si>
    <t>Currency Related Parameters</t>
  </si>
  <si>
    <t>Currency Depreciation</t>
  </si>
  <si>
    <t>%</t>
  </si>
  <si>
    <t>Discount Rate</t>
  </si>
  <si>
    <t>Taxation</t>
  </si>
  <si>
    <t>VAT</t>
  </si>
  <si>
    <t>Income Tax</t>
  </si>
  <si>
    <t>Other Tax</t>
  </si>
  <si>
    <t>Grant</t>
  </si>
  <si>
    <t>Grant as % of CAPEX</t>
  </si>
  <si>
    <t>Project Grant</t>
  </si>
  <si>
    <t>USD</t>
  </si>
  <si>
    <t>% grant in year 0</t>
  </si>
  <si>
    <t>Project Grant in year 0</t>
  </si>
  <si>
    <t>% remaining Grant</t>
  </si>
  <si>
    <t>Remaining Project Grant</t>
  </si>
  <si>
    <t>Disbursement year of remaining grant</t>
  </si>
  <si>
    <t>Equity</t>
  </si>
  <si>
    <t>Developer Equity</t>
  </si>
  <si>
    <t>Investor Equity</t>
  </si>
  <si>
    <t>Debt</t>
  </si>
  <si>
    <t>Normal Project Debt</t>
  </si>
  <si>
    <t>Debt Grace Period</t>
  </si>
  <si>
    <t>Loan Tenor</t>
  </si>
  <si>
    <t>Interest Rate for Loan</t>
  </si>
  <si>
    <t>Bridge finance</t>
  </si>
  <si>
    <t>Bridge Finance Grace Period</t>
  </si>
  <si>
    <t>Bridge Finance Tenor</t>
  </si>
  <si>
    <t>Interest Rate for Bridge Finance</t>
  </si>
  <si>
    <t>Growth Rate</t>
  </si>
  <si>
    <t>1 USD</t>
  </si>
  <si>
    <t>Exchange rate</t>
  </si>
  <si>
    <t>Expenses</t>
  </si>
  <si>
    <t>CAPEX</t>
  </si>
  <si>
    <t>Preliminary Costs</t>
  </si>
  <si>
    <t>Project Development</t>
  </si>
  <si>
    <t>Land Acquisition</t>
  </si>
  <si>
    <t>Total Preliminary Costs</t>
  </si>
  <si>
    <t>Generation Assets</t>
  </si>
  <si>
    <t>Assumption of M2 per kWp</t>
  </si>
  <si>
    <t>M2/kWp</t>
  </si>
  <si>
    <t>Panel Efficiency</t>
  </si>
  <si>
    <t xml:space="preserve">Irradiance GHI </t>
  </si>
  <si>
    <t>kWh/day·m2</t>
  </si>
  <si>
    <t>Annual Degradation</t>
  </si>
  <si>
    <t>Lifetime</t>
  </si>
  <si>
    <t>Replacement Cost</t>
  </si>
  <si>
    <t>Area Covered By Panels</t>
  </si>
  <si>
    <t>m2</t>
  </si>
  <si>
    <t>Energy Generated by Panels</t>
  </si>
  <si>
    <t>kWh/year</t>
  </si>
  <si>
    <t>Inverter Efficiency</t>
  </si>
  <si>
    <t>kWh</t>
  </si>
  <si>
    <t>Energy</t>
  </si>
  <si>
    <t>Mounting Structure</t>
  </si>
  <si>
    <t xml:space="preserve">Total BOS Cost </t>
  </si>
  <si>
    <t>Total Generation Asset Costs</t>
  </si>
  <si>
    <t>Distribution Assets</t>
  </si>
  <si>
    <t>Number of new poles</t>
  </si>
  <si>
    <t>Length of new lines</t>
  </si>
  <si>
    <t>Number of new connections</t>
  </si>
  <si>
    <t>Total Distribution Asset Costs</t>
  </si>
  <si>
    <t>Single Phase Customer Meters</t>
  </si>
  <si>
    <t>Three Phase Customer Meters</t>
  </si>
  <si>
    <t>Other</t>
  </si>
  <si>
    <t>Total Meters Costs</t>
  </si>
  <si>
    <t>Indoor Installations</t>
  </si>
  <si>
    <t>Single Phase Customer Installations</t>
  </si>
  <si>
    <t>Three Phase Customer Installations</t>
  </si>
  <si>
    <t>Total Indoor Installation Costs</t>
  </si>
  <si>
    <t>General Costs</t>
  </si>
  <si>
    <t>Installation</t>
  </si>
  <si>
    <t>Civil Costs</t>
  </si>
  <si>
    <t>Logistics</t>
  </si>
  <si>
    <t>Shipping</t>
  </si>
  <si>
    <t xml:space="preserve"> </t>
  </si>
  <si>
    <t>Customer Acquisition</t>
  </si>
  <si>
    <t>Travel</t>
  </si>
  <si>
    <t>Training</t>
  </si>
  <si>
    <t>Permits</t>
  </si>
  <si>
    <t>Total General Costs</t>
  </si>
  <si>
    <t>CAPEX factor (for sensitivity analysis)</t>
  </si>
  <si>
    <t>TOTAL CAPEX</t>
  </si>
  <si>
    <t>CAPEX Financing Structure</t>
  </si>
  <si>
    <t>Bridge Finance</t>
  </si>
  <si>
    <t>Standard Project Loan</t>
  </si>
  <si>
    <t>Total Finance</t>
  </si>
  <si>
    <t>OPEX Investment</t>
  </si>
  <si>
    <t>Diesel Fuel Costs</t>
  </si>
  <si>
    <t xml:space="preserve">Diesel Fuel Price </t>
  </si>
  <si>
    <t>USD/litre</t>
  </si>
  <si>
    <t>Fuel Usage at Baseline</t>
  </si>
  <si>
    <t>Fuel Cost at Baseline</t>
  </si>
  <si>
    <t>USD/year</t>
  </si>
  <si>
    <t>Baseline Cost</t>
  </si>
  <si>
    <t>HOMER Modelled Cost</t>
  </si>
  <si>
    <t>Considered Cost</t>
  </si>
  <si>
    <t>Fuel Cost Growth</t>
  </si>
  <si>
    <t>Bio Fuel Costs</t>
  </si>
  <si>
    <t xml:space="preserve">Bio Fuel Price </t>
  </si>
  <si>
    <t>Total Annual Fuel Costs</t>
  </si>
  <si>
    <t>Other O&amp;M Costs</t>
  </si>
  <si>
    <t>Meter/Monitoring</t>
  </si>
  <si>
    <t>Staff</t>
  </si>
  <si>
    <t>Insurance</t>
  </si>
  <si>
    <t>Other O&amp;M Costs Growth</t>
  </si>
  <si>
    <t>Total Other O&amp;M Costs</t>
  </si>
  <si>
    <t xml:space="preserve"> Grid Usage Fee</t>
  </si>
  <si>
    <t>Grid Usage Fee per kWh from powerhouse run through network</t>
  </si>
  <si>
    <t>USD/kWh</t>
  </si>
  <si>
    <t xml:space="preserve">Grid Usage Fee Over Time </t>
  </si>
  <si>
    <t>Total Grid Usage</t>
  </si>
  <si>
    <t>Total Grid Usage Fee</t>
  </si>
  <si>
    <t xml:space="preserve"> Grid Purchases</t>
  </si>
  <si>
    <t>Grid Purchase Price</t>
  </si>
  <si>
    <t>Total Grid Purchases</t>
  </si>
  <si>
    <t>OPEX factor (for sensitivity analysis)</t>
  </si>
  <si>
    <t>Total OPEX Expenses</t>
  </si>
  <si>
    <t>Total Expenses</t>
  </si>
  <si>
    <t>Revenues</t>
  </si>
  <si>
    <t>Commodity / Service Sales</t>
  </si>
  <si>
    <t>Electricity Generation</t>
  </si>
  <si>
    <t>Output Energy Electricity in Year 0</t>
  </si>
  <si>
    <t>PV Panel Annual Degradation</t>
  </si>
  <si>
    <t>% per year</t>
  </si>
  <si>
    <t>Percentage for Self-Consumption</t>
  </si>
  <si>
    <t>Units to consider for Energy Savings</t>
  </si>
  <si>
    <t>Units to consider for Exports</t>
  </si>
  <si>
    <t>Sales factor (for sensitivity analysis)</t>
  </si>
  <si>
    <t>Total Electricity Units</t>
  </si>
  <si>
    <t>PV Energy - T.O.D Tariff</t>
  </si>
  <si>
    <t>Percentage of Energy</t>
  </si>
  <si>
    <t>Tariff (Rs/kWh)</t>
  </si>
  <si>
    <t>Change in Tariff</t>
  </si>
  <si>
    <t>Tariff Time 1 (17h -23h)</t>
  </si>
  <si>
    <t>Revenues from Energy Savings</t>
  </si>
  <si>
    <t>Tariff Time 2 (23h - 05h)</t>
  </si>
  <si>
    <t>Tarif Time 3 (05h - 17h)</t>
  </si>
  <si>
    <t>Average Tariff To Consider for Energy Savings</t>
  </si>
  <si>
    <t>Rs/kWh</t>
  </si>
  <si>
    <t>Revenues From Energy Exports</t>
  </si>
  <si>
    <t>PPA Rate (Only Populate for ESCO Model)</t>
  </si>
  <si>
    <t>(if no PPA, insert 0)</t>
  </si>
  <si>
    <t>Total Electricity Revenues</t>
  </si>
  <si>
    <t>Grants</t>
  </si>
  <si>
    <t>Total Amount of Grant</t>
  </si>
  <si>
    <t>Generation Based Subsidy</t>
  </si>
  <si>
    <t>Generation Subsidy</t>
  </si>
  <si>
    <t>Duration of Subsidy</t>
  </si>
  <si>
    <t xml:space="preserve">Interest Buy-Down Grant </t>
  </si>
  <si>
    <t>Percentage of Buy-Down</t>
  </si>
  <si>
    <t>Total Grant</t>
  </si>
  <si>
    <t>Total Revenues</t>
  </si>
  <si>
    <t>Annual Operational Costs</t>
  </si>
  <si>
    <t>Investments for Power Generation Assets</t>
  </si>
  <si>
    <t>Investments for Power Distribution Assets</t>
  </si>
  <si>
    <t>Investment for Meters</t>
  </si>
  <si>
    <t>Investments for Indoor Installations</t>
  </si>
  <si>
    <t>Project Development &amp; General Costs</t>
  </si>
  <si>
    <t>Total Expenditures</t>
  </si>
  <si>
    <t>Revenue from Electricity Sales</t>
  </si>
  <si>
    <t>Revenue from Grants</t>
  </si>
  <si>
    <t>Total Revenues (Project Life)</t>
  </si>
  <si>
    <t>Total Expenses (Project Life)</t>
  </si>
  <si>
    <t>Depreciation and Reinvestment</t>
  </si>
  <si>
    <t>Depreciation (linear)</t>
  </si>
  <si>
    <t>Upfront Cost 
(For Depreciation)</t>
  </si>
  <si>
    <t>Asset to be Depreciated</t>
  </si>
  <si>
    <t>Depreciation Duration</t>
  </si>
  <si>
    <t>Yes</t>
  </si>
  <si>
    <t>No</t>
  </si>
  <si>
    <t xml:space="preserve">Total Depreciation of Assets </t>
  </si>
  <si>
    <t>Reinvestment</t>
  </si>
  <si>
    <t>Year</t>
  </si>
  <si>
    <t>Total Reinvestments</t>
  </si>
  <si>
    <t xml:space="preserve">Total Remaining Value of Assets </t>
  </si>
  <si>
    <t>Standard Project Debt Service Plan</t>
  </si>
  <si>
    <t>Bridge Finance Debt Service Plan</t>
  </si>
  <si>
    <t>Company Performance</t>
  </si>
  <si>
    <t>Income Statement</t>
  </si>
  <si>
    <t>Electricity Sales</t>
  </si>
  <si>
    <t>Revenue From Energy Savings</t>
  </si>
  <si>
    <t>Revenue from Energy Sales</t>
  </si>
  <si>
    <t>Total Gross Revenues</t>
  </si>
  <si>
    <t>Electricity Purchases</t>
  </si>
  <si>
    <t>Energy Purchased from DisCo</t>
  </si>
  <si>
    <t>Total Purchases</t>
  </si>
  <si>
    <t>Net Revenues</t>
  </si>
  <si>
    <t>VAT on Net Revenues</t>
  </si>
  <si>
    <t>Total Revenues Net of VAT</t>
  </si>
  <si>
    <t>Revenues Adjusted for Currency Depreciation</t>
  </si>
  <si>
    <t>Operating Costs</t>
  </si>
  <si>
    <t>Fuel Cost</t>
  </si>
  <si>
    <t>Grid usage fee</t>
  </si>
  <si>
    <t>Total OPEX</t>
  </si>
  <si>
    <t>EBITDA</t>
  </si>
  <si>
    <t>Depreciation</t>
  </si>
  <si>
    <t>Total Depreciation of Assets</t>
  </si>
  <si>
    <t>EBIT</t>
  </si>
  <si>
    <t>Interest</t>
  </si>
  <si>
    <t>Bridge Finance Financing Period</t>
  </si>
  <si>
    <t>Bridge Finance Principal Repayment Period</t>
  </si>
  <si>
    <t>Standard Project Loan Financing Period</t>
  </si>
  <si>
    <t>Standard Project Loan Principal Repayment Period</t>
  </si>
  <si>
    <t>Total CAPEX Required</t>
  </si>
  <si>
    <t>Loan Opening Balance</t>
  </si>
  <si>
    <t>Principal Repayment</t>
  </si>
  <si>
    <t>Loan Closing Balance</t>
  </si>
  <si>
    <t>Bridge Finance Interest Expenses</t>
  </si>
  <si>
    <t>Standard Loan Interest Expenses</t>
  </si>
  <si>
    <t>EBT</t>
  </si>
  <si>
    <t>Taxes</t>
  </si>
  <si>
    <t>Depreciation + EBT</t>
  </si>
  <si>
    <t>Tax incentive 2 : Capital Allowance</t>
  </si>
  <si>
    <t>Remaining available allowance</t>
  </si>
  <si>
    <t>Tax Incentives 3: Loss Relief</t>
  </si>
  <si>
    <t>Total Tax incentives</t>
  </si>
  <si>
    <t>Taxable Income (Depreciation + EBT - Tax Incentives)</t>
  </si>
  <si>
    <t>Total Taxes</t>
  </si>
  <si>
    <t>Net Income</t>
  </si>
  <si>
    <t>Cashflow Statement</t>
  </si>
  <si>
    <t>Operational Cashflow</t>
  </si>
  <si>
    <t>Total Operational Cashflow</t>
  </si>
  <si>
    <t>Grant Cashflow</t>
  </si>
  <si>
    <t>Total Grant Cashflow</t>
  </si>
  <si>
    <t>Initial Investment Cashflow</t>
  </si>
  <si>
    <t>Total Initial Investment</t>
  </si>
  <si>
    <t>Reinvestment Cashflow</t>
  </si>
  <si>
    <t>Total Investing Cashflow</t>
  </si>
  <si>
    <t>Cashflow for project IRR calculation (operational cashflow - reinvestments)</t>
  </si>
  <si>
    <t>Financing Cashflow</t>
  </si>
  <si>
    <t>Bridge Finance Financing</t>
  </si>
  <si>
    <t>Bridge Finance Principal Repayment</t>
  </si>
  <si>
    <t>Standard Project Debt Financing</t>
  </si>
  <si>
    <t>Standard Project Debt Principal Repayment</t>
  </si>
  <si>
    <t>Total Financing Cashflow</t>
  </si>
  <si>
    <t>Free Cash Flow</t>
  </si>
  <si>
    <t>Equity Cash Flow</t>
  </si>
  <si>
    <t>Equity Payback Flag</t>
  </si>
  <si>
    <t>Cumulative Equity Cash Flow</t>
  </si>
  <si>
    <t>Balance Sheet</t>
  </si>
  <si>
    <t>Assets</t>
  </si>
  <si>
    <t xml:space="preserve">Depreciation &amp; Amortization </t>
  </si>
  <si>
    <t>Total tangible assets (after depreciation)</t>
  </si>
  <si>
    <t>Cash</t>
  </si>
  <si>
    <t>Total Assets</t>
  </si>
  <si>
    <t>Equity and Liabilities</t>
  </si>
  <si>
    <t>Equity + Grant - Non tangible costs</t>
  </si>
  <si>
    <t>Retained earnings previous years</t>
  </si>
  <si>
    <t>Retained earnings actual year</t>
  </si>
  <si>
    <t>Bridge Finance Long term liabilities</t>
  </si>
  <si>
    <t>Standard Project Debt Long term liabilities</t>
  </si>
  <si>
    <t>Total Equity and Liabilities</t>
  </si>
  <si>
    <t>KEY PERFORMANCE METRICS</t>
  </si>
  <si>
    <t>Levelized Cost of Electricity</t>
  </si>
  <si>
    <t>LCOE without Grant</t>
  </si>
  <si>
    <t>LCOE with Grant</t>
  </si>
  <si>
    <t>Debt Service</t>
  </si>
  <si>
    <t>Cash Available for Debt Service</t>
  </si>
  <si>
    <t>Total Debt Service</t>
  </si>
  <si>
    <t>Debt Service Coverage Ratio</t>
  </si>
  <si>
    <t>Min Debt Service Coverage Ratio</t>
  </si>
  <si>
    <t>Profit Margin</t>
  </si>
  <si>
    <t>Operating Profit Margin</t>
  </si>
  <si>
    <t>Average Operating Profit Margin</t>
  </si>
  <si>
    <t>Minimum Operating Profit Margin</t>
  </si>
  <si>
    <t>Net Present Value</t>
  </si>
  <si>
    <t>Project NPV</t>
  </si>
  <si>
    <t>Equity NPV</t>
  </si>
  <si>
    <t>Internal Rate of Return</t>
  </si>
  <si>
    <t>Project IRR</t>
  </si>
  <si>
    <t xml:space="preserve">Equity IRR </t>
  </si>
  <si>
    <t>Project life</t>
  </si>
  <si>
    <t>Minimum DSCR</t>
  </si>
  <si>
    <t>ratio</t>
  </si>
  <si>
    <t>Equity IRR</t>
  </si>
  <si>
    <t>Equity Payback period</t>
  </si>
  <si>
    <t>Monocrystalline</t>
  </si>
  <si>
    <t>Inverter / converter for primary storage</t>
  </si>
  <si>
    <t>Secondary generator</t>
  </si>
  <si>
    <t>Coordinates</t>
  </si>
  <si>
    <t>Site Name</t>
  </si>
  <si>
    <t>Technology</t>
  </si>
  <si>
    <t>Solar Rooftop</t>
  </si>
  <si>
    <t>Income Tax Period 1</t>
  </si>
  <si>
    <t>Duration of Period 1</t>
  </si>
  <si>
    <t>Income Tax Period 2</t>
  </si>
  <si>
    <t>Duration of Perdiod 2</t>
  </si>
  <si>
    <t>Income Tax Period 3</t>
  </si>
  <si>
    <t>Duration of Period</t>
  </si>
  <si>
    <t>remaining</t>
  </si>
  <si>
    <t>Equity IRR from risk-less investments</t>
  </si>
  <si>
    <t>Exchange Rate today</t>
  </si>
  <si>
    <t>Totalizers and Other Accessories</t>
  </si>
  <si>
    <t xml:space="preserve"> BOS Cost</t>
  </si>
  <si>
    <t>used only if there is no HOMER timeseries</t>
  </si>
  <si>
    <t>Grid Usage Fixed Fee per Annum</t>
  </si>
  <si>
    <t>optional</t>
  </si>
  <si>
    <t>Units purchased from DisCo</t>
  </si>
  <si>
    <t>Base year</t>
  </si>
  <si>
    <t>Tariff   Energy Exports (NEA Net-Metering)</t>
  </si>
  <si>
    <t>Vat-exemptions</t>
  </si>
  <si>
    <t>Amount to be exempt</t>
  </si>
  <si>
    <t>add cost for all vat exempt values excl. Panels &amp; Inverters</t>
  </si>
  <si>
    <t>Tax Holiday Period 1</t>
  </si>
  <si>
    <t>Tax Holiday Period 2</t>
  </si>
  <si>
    <t>Primary RE generator</t>
  </si>
  <si>
    <t>Inverter / converter for primary generator</t>
  </si>
  <si>
    <t>Primary storage</t>
  </si>
  <si>
    <t>Balance of System (BoS)</t>
  </si>
  <si>
    <t>Poles</t>
  </si>
  <si>
    <t>Cables</t>
  </si>
  <si>
    <t>Customer service lines</t>
  </si>
  <si>
    <t>Other grid equipment</t>
  </si>
  <si>
    <t>Solar PV Panels</t>
  </si>
  <si>
    <t>Solar PV Inverter / Converter</t>
  </si>
  <si>
    <t>Battery Storage System</t>
  </si>
  <si>
    <t>Battery Inverter / Converter</t>
  </si>
  <si>
    <t>Diesel Genset (Optional)</t>
  </si>
  <si>
    <t>litre/year</t>
  </si>
  <si>
    <t xml:space="preserve">प्रयोगकर्ताको पुरा नाम </t>
  </si>
  <si>
    <t>प्रयोगकर्ताको मोबाइल नम्बर</t>
  </si>
  <si>
    <t xml:space="preserve">प्रदेश </t>
  </si>
  <si>
    <t xml:space="preserve">जिल्ला </t>
  </si>
  <si>
    <t>नगरपालिका/गाउँपालिका</t>
  </si>
  <si>
    <t>वार्ड नं</t>
  </si>
  <si>
    <t>टोल/स्थानीयता नाम</t>
  </si>
  <si>
    <t>जीपीएस समन्वयहरू (degrees(°) minutes(') seconds(''))</t>
  </si>
  <si>
    <t>भार प्रकार (औद्योगिक, वाणिज्यिक, आवासीय)</t>
  </si>
  <si>
    <t>स्थापना प्रकार (छत माथि, भूमि माउन्ट)</t>
  </si>
  <si>
    <t xml:space="preserve">प्रयोगकर्ताको विवरण </t>
  </si>
  <si>
    <t xml:space="preserve">डिजाइनरको विवरण  </t>
  </si>
  <si>
    <t>डिजाइनरको पूरा नाम</t>
  </si>
  <si>
    <t>डिजाइनरको पद</t>
  </si>
  <si>
    <t>इनपुटहरू</t>
  </si>
  <si>
    <t>कार्यालयको नाम</t>
  </si>
  <si>
    <t>मिति</t>
  </si>
  <si>
    <t>सोलर रूफटप (SRT) प्राथमिक प्रणाली योजना उपकरण</t>
  </si>
  <si>
    <t>POSTED</t>
  </si>
  <si>
    <t>Distance between Array and Power House (meters)</t>
  </si>
  <si>
    <t>System type</t>
  </si>
  <si>
    <t>Cost  NPR</t>
  </si>
  <si>
    <t>Solar Panels</t>
  </si>
  <si>
    <t>Potential solar PV roof top capacity</t>
  </si>
  <si>
    <t>Total available space for installation without any shading issues from east and south direction and west facing roof as well as north facing with tilt angle less than 10 degrees.</t>
  </si>
  <si>
    <t>If rooftop, type of roof</t>
  </si>
  <si>
    <t>Assumption: 1kW needs ~10Sq.mtrs of shading free area, inclusive of spaces in between for maintenance and cleaning purposes. RCC roof require 8.5 Sq. m for 1 kWp of DC while 7.5 Sq.m for industrial shed</t>
  </si>
  <si>
    <t>Max. PV Power W.R.T Area (kW)</t>
  </si>
  <si>
    <t>Losses (25%)</t>
  </si>
  <si>
    <t>Azimuth Angle of the Roof (°)</t>
  </si>
  <si>
    <t>Generation/Day (kWh)</t>
  </si>
  <si>
    <t>What is the orientation of the available space (North 0°; East90°; South 180°; West 270°)</t>
  </si>
  <si>
    <t>m</t>
  </si>
  <si>
    <t>Assumption: A usual value of  4.78 can be considered for Nepal but a 10-15% lower one could be considered as a conservative value.</t>
  </si>
  <si>
    <t>FINANCIAL INPUTS</t>
  </si>
  <si>
    <t>Project Life (Year)</t>
  </si>
  <si>
    <t>Exchange rate                                          1 USD =</t>
  </si>
  <si>
    <t>South (180°)</t>
  </si>
  <si>
    <t>Koshi</t>
  </si>
  <si>
    <t>परियोजना प्रारम्भ वर्ष</t>
  </si>
  <si>
    <t>परियोजना जीवनकाल (वर्ष)</t>
  </si>
  <si>
    <t>मूल्य अभिवृद्धि कर</t>
  </si>
  <si>
    <t>कर्जाका लागि ब्याज दर</t>
  </si>
  <si>
    <t>विनिमय दर</t>
  </si>
  <si>
    <t>टिप्पणी र/वा सहायक जानकारी (नेपालीमा)</t>
  </si>
  <si>
    <t>Enter the YEAR on which the project commenced.</t>
  </si>
  <si>
    <t>Total life of the project</t>
  </si>
  <si>
    <t>Value added Tax</t>
  </si>
  <si>
    <t>Yearly Interest rate at which the loan maount the have been approved</t>
  </si>
  <si>
    <t>Currency exchange rate from USD to NPR</t>
  </si>
  <si>
    <t>None</t>
  </si>
  <si>
    <t xml:space="preserve">Published by </t>
  </si>
  <si>
    <t>The Government of Nepal</t>
  </si>
  <si>
    <t>Mid Baneshwor, Post Box No.: 14364, Kathmandu, Nepal Tel: +977-1-4498013/4498014</t>
  </si>
  <si>
    <t>Email: info@aepc.gov.np</t>
  </si>
  <si>
    <t xml:space="preserve">Web: www.aepc.gov.np </t>
  </si>
  <si>
    <t>With support of</t>
  </si>
  <si>
    <t>P.O. Box 1457, Kathmandu, Nepal</t>
  </si>
  <si>
    <t>Tel: +977 1 5555 289, 5538 129</t>
  </si>
  <si>
    <t xml:space="preserve">Email: posted@giz.de </t>
  </si>
  <si>
    <t>Developed by</t>
  </si>
  <si>
    <t xml:space="preserve">Integration Umwelt &amp; Energie GmbH, Germany </t>
  </si>
  <si>
    <t xml:space="preserve">Author: Nipun Regmi </t>
  </si>
  <si>
    <t>Review: Ajay Thapa, Kushal Gautam, Muhammed Imran</t>
  </si>
  <si>
    <t>Layout: Muhammed Imran</t>
  </si>
  <si>
    <t xml:space="preserve">Ministry of Energy, Water Resources and Irrigation </t>
  </si>
  <si>
    <t>Alternative Energy Promotion Centre (AEPC)</t>
  </si>
  <si>
    <t>Deutsche Gesellschaft für Internationale Zusammenarbeit (GIZ) GmbH</t>
  </si>
  <si>
    <t>Promotion of Solar Technologies for Economic Development (POSTED) NTNC Complex, Khumaltar, Lalitpur, Nepal</t>
  </si>
  <si>
    <t xml:space="preserve">This tool was produced with funding from the Federal Ministry for Economic Cooperation and Development (BMZ), Germany 
through Deutsche Gesellschaft für Internationale Zusammenarbeit (GIZ) GmbH. </t>
  </si>
  <si>
    <t>Value</t>
  </si>
  <si>
    <t>Unit</t>
  </si>
  <si>
    <t>Total</t>
  </si>
  <si>
    <t>Financial Project Overview</t>
  </si>
  <si>
    <t>Financing Structure</t>
  </si>
  <si>
    <t>Source</t>
  </si>
  <si>
    <t>Key Performance Indicators</t>
  </si>
  <si>
    <t>Overall performance</t>
  </si>
  <si>
    <t>Indicator</t>
  </si>
  <si>
    <r>
      <rPr>
        <sz val="12"/>
        <color theme="1"/>
        <rFont val="Arial"/>
        <family val="2"/>
      </rPr>
      <t>$</t>
    </r>
    <r>
      <rPr>
        <sz val="12"/>
        <color theme="1"/>
        <rFont val="Calibri Light"/>
        <family val="2"/>
        <scheme val="major"/>
      </rPr>
      <t>/kWh</t>
    </r>
  </si>
  <si>
    <t>$</t>
  </si>
  <si>
    <t>Equity payback</t>
  </si>
  <si>
    <t>yrs</t>
  </si>
  <si>
    <t>$/kWh</t>
  </si>
  <si>
    <t>Other item</t>
  </si>
  <si>
    <t>Financials</t>
  </si>
  <si>
    <t>Interest Rate</t>
  </si>
  <si>
    <t>Inflation</t>
  </si>
  <si>
    <t>Page 4 of 4</t>
  </si>
  <si>
    <t>Page 3 of 4</t>
  </si>
  <si>
    <t>Page 2 of 4</t>
  </si>
  <si>
    <t>Page 1 of 4</t>
  </si>
  <si>
    <t>Generation/Year (330 Days)</t>
  </si>
  <si>
    <t>Single Line Diagram</t>
  </si>
  <si>
    <t>Return on Investment</t>
  </si>
  <si>
    <t>Discounted ROI</t>
  </si>
  <si>
    <t>Discounted (ROI)</t>
  </si>
  <si>
    <t>22.34,83.23</t>
  </si>
  <si>
    <t>Commercial</t>
  </si>
  <si>
    <t>The user can choose an option from the drop down menu</t>
  </si>
  <si>
    <t>प्रयोगकर्ताले solar panel को प्रकारको विकल्प रोज्न सक्छन्</t>
  </si>
  <si>
    <t>The user may choose to use a different specification</t>
  </si>
  <si>
    <t>प्रयोगकर्ताले विभिन्न विशेषिकरण प्रयोग गर्न सक्दछन्</t>
  </si>
  <si>
    <t>Comments and/or supporting information</t>
  </si>
  <si>
    <t>Password</t>
  </si>
  <si>
    <t>AEPC-POSTED-SRT-NR</t>
  </si>
  <si>
    <t>Unit Cost (NPR)</t>
  </si>
  <si>
    <t>Solar PV Capacity (kWP)</t>
  </si>
  <si>
    <t>Rooftop</t>
  </si>
  <si>
    <t>Industrial shed</t>
  </si>
  <si>
    <t>Project Coordinator</t>
  </si>
  <si>
    <t>GI Truss Based Structure</t>
  </si>
  <si>
    <t>Required</t>
  </si>
  <si>
    <t>Note: This is BoQ is indicative only. The final BoQ requires Detailed Feasibility Study to be completed.</t>
  </si>
  <si>
    <t>ड्रपडाउन विकल्पहरू</t>
  </si>
  <si>
    <t>लिङ्क गरिएका cells</t>
  </si>
  <si>
    <t>Version</t>
  </si>
  <si>
    <t>Developer</t>
  </si>
  <si>
    <t>Preliminary Bill of Quantity (BoQ)</t>
  </si>
  <si>
    <t>Backend Design</t>
  </si>
  <si>
    <t>Backend Finance</t>
  </si>
  <si>
    <t>Backend Values</t>
  </si>
  <si>
    <t>Report – Basic SRT Design</t>
  </si>
  <si>
    <t>Recommended default values. Subject to modification, if required. However, alteration require expert knowlede.</t>
  </si>
  <si>
    <t>Item</t>
  </si>
  <si>
    <t>Alumunum angle/GI truss</t>
  </si>
  <si>
    <t>Remote Monitoring unit</t>
  </si>
  <si>
    <t>meters</t>
  </si>
  <si>
    <t>Energy meter</t>
  </si>
  <si>
    <t>प्रस्तावित पूर्वनिर्धारित मूल्यहरू। आवश्यक भएमा परिमार्जन गर्न सकिन्छ। तथापि, परिमार्जन गर्नका लागि विशेषज्ञ ज्ञान आवश्यक छ।</t>
  </si>
  <si>
    <t>MCB-TPN/MCCB 25kA</t>
  </si>
  <si>
    <t>DC Cables, 2C, Unarmoured</t>
  </si>
  <si>
    <t>AC Cables, 4C, Unarmoured</t>
  </si>
  <si>
    <t>Inverters</t>
  </si>
  <si>
    <t>Reference Prices</t>
  </si>
  <si>
    <t>Others</t>
  </si>
  <si>
    <r>
      <t xml:space="preserve">Components | </t>
    </r>
    <r>
      <rPr>
        <i/>
        <sz val="16"/>
        <color theme="0"/>
        <rFont val="Calibri (Body)"/>
      </rPr>
      <t>Users may update prices if required</t>
    </r>
  </si>
  <si>
    <t>Components of Bill of Quantities (BoQ)</t>
  </si>
  <si>
    <t>March 2024</t>
  </si>
  <si>
    <t>Biratnagar Metropolitan City</t>
  </si>
  <si>
    <t>Morang</t>
  </si>
  <si>
    <t>Traffic Chowk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</si>
</sst>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8" formatCode="&quot;$&quot;#,##0.00_);[Red]\(&quot;$&quot;#,##0.00\)"/>
    <numFmt numFmtId="43" formatCode="_(* #,##0.00_);_(* \(#,##0.00\);_(* &quot;-&quot;??_);_(@_)"/>
    <numFmt numFmtId="164" formatCode="_-&quot;£&quot;* #,##0.00_-;\-&quot;£&quot;* #,##0.00_-;_-&quot;£&quot;* &quot;-&quot;??_-;_-@_-"/>
    <numFmt numFmtId="165" formatCode="0;\-0;;@"/>
    <numFmt numFmtId="166" formatCode="0.0_);\(0.0\)"/>
    <numFmt numFmtId="167" formatCode="0.00_);\(0.00\)"/>
    <numFmt numFmtId="168" formatCode="[$रु-461]\ #,##0.00;\-[$रु-461]\ #,##0.00"/>
    <numFmt numFmtId="169" formatCode="_(#,##0_);\(#,##0\);_(&quot;-&quot;_);_(@_)"/>
    <numFmt numFmtId="170" formatCode="[$$-409]#,##0"/>
    <numFmt numFmtId="171" formatCode="_(* #,##0_);_(* \(#,##0\);_(* &quot;-&quot;??_);_(@_)"/>
    <numFmt numFmtId="172" formatCode="[$₦-469]\ #,##0"/>
    <numFmt numFmtId="173" formatCode="[$$-540A]#,##0"/>
    <numFmt numFmtId="174" formatCode="[$$-409]#,##0.00"/>
    <numFmt numFmtId="175" formatCode="_(&quot;$&quot;#,##0_);\(&quot;$&quot;#,##0\);_(&quot;-&quot;_);_(@_)"/>
    <numFmt numFmtId="176" formatCode="#,##0.0"/>
    <numFmt numFmtId="177" formatCode="_(&quot;$&quot;#,##0.00_);\(&quot;$&quot;#,##0.00\);_(&quot;-&quot;_);_(@_)"/>
    <numFmt numFmtId="178" formatCode="[$₦-466]\ #,##0"/>
    <numFmt numFmtId="179" formatCode="0.0"/>
    <numFmt numFmtId="180" formatCode="#,##0.00\ &quot;zł&quot;;[Red]\-#,##0.00\ &quot;zł&quot;"/>
    <numFmt numFmtId="181" formatCode="&quot;₦&quot;#,##0.00_);\(&quot;₦&quot;#,##0.00\)"/>
    <numFmt numFmtId="182" formatCode="&quot;₦&quot;#,##0_);\(&quot;₦&quot;#,##0\)"/>
    <numFmt numFmtId="183" formatCode="_(#,##0.00_);\(#,##0.00\);_(&quot;-&quot;_);_(@_)"/>
    <numFmt numFmtId="184" formatCode="_-[$$-409]* #,##0.00_ ;_-[$$-409]* \-#,##0.00\ ;_-[$$-409]* &quot;-&quot;??_ ;_-@_ "/>
    <numFmt numFmtId="185" formatCode="_-[$$-409]* #,##0_ ;_-[$$-409]* \-#,##0\ ;_-[$$-409]* &quot;-&quot;??_ ;_-@_ "/>
    <numFmt numFmtId="186" formatCode="[$NPR]\ #,##0.00"/>
    <numFmt numFmtId="187" formatCode="0.0\ \k\$"/>
    <numFmt numFmtId="188" formatCode="[$रु-461]\ #,##0;\-[$रु-461]\ #,##0"/>
    <numFmt numFmtId="189" formatCode="0.0%"/>
  </numFmts>
  <fonts count="70">
    <font>
      <sz val="11"/>
      <color theme="1"/>
      <name val="Calibri"/>
      <family val="2"/>
      <scheme val="minor"/>
    </font>
    <font>
      <b/>
      <sz val="11"/>
      <color theme="1"/>
      <name val="Calibri"/>
      <family val="2"/>
      <scheme val="minor"/>
    </font>
    <font>
      <sz val="11"/>
      <color theme="1"/>
      <name val="Calibri"/>
      <family val="2"/>
      <scheme val="minor"/>
    </font>
    <font>
      <i/>
      <sz val="10"/>
      <color theme="1"/>
      <name val="Arial"/>
      <family val="2"/>
    </font>
    <font>
      <b/>
      <sz val="12"/>
      <color theme="1"/>
      <name val="Calibri"/>
      <family val="2"/>
      <scheme val="minor"/>
    </font>
    <font>
      <sz val="8"/>
      <name val="Calibri"/>
      <family val="2"/>
      <scheme val="minor"/>
    </font>
    <font>
      <sz val="10"/>
      <color rgb="FF000000"/>
      <name val="Symbol"/>
      <family val="1"/>
      <charset val="2"/>
    </font>
    <font>
      <sz val="7"/>
      <color rgb="FF000000"/>
      <name val="Times New Roman"/>
      <family val="1"/>
    </font>
    <font>
      <sz val="9"/>
      <color rgb="FF000000"/>
      <name val="Verdana"/>
      <family val="2"/>
    </font>
    <font>
      <b/>
      <sz val="9"/>
      <color rgb="FF000000"/>
      <name val="Verdana"/>
      <family val="2"/>
    </font>
    <font>
      <i/>
      <sz val="10"/>
      <name val="Arial"/>
      <family val="2"/>
    </font>
    <font>
      <b/>
      <sz val="11"/>
      <color theme="0"/>
      <name val="Calibri"/>
      <family val="2"/>
      <scheme val="minor"/>
    </font>
    <font>
      <sz val="10"/>
      <color theme="0"/>
      <name val="Calibri"/>
      <family val="2"/>
      <scheme val="minor"/>
    </font>
    <font>
      <sz val="10"/>
      <color theme="1"/>
      <name val="Calibri"/>
      <family val="2"/>
      <scheme val="minor"/>
    </font>
    <font>
      <b/>
      <sz val="10"/>
      <color theme="0"/>
      <name val="Calibri"/>
      <family val="2"/>
      <scheme val="minor"/>
    </font>
    <font>
      <vertAlign val="superscript"/>
      <sz val="10"/>
      <color theme="1"/>
      <name val="Calibri"/>
      <family val="2"/>
      <scheme val="minor"/>
    </font>
    <font>
      <b/>
      <sz val="10"/>
      <color rgb="FFFF0000"/>
      <name val="Calibri"/>
      <family val="2"/>
      <scheme val="minor"/>
    </font>
    <font>
      <b/>
      <sz val="18"/>
      <color theme="0"/>
      <name val="Calibri"/>
      <family val="2"/>
      <scheme val="minor"/>
    </font>
    <font>
      <sz val="10"/>
      <name val="Calibri"/>
      <family val="2"/>
      <scheme val="minor"/>
    </font>
    <font>
      <sz val="10"/>
      <color theme="1"/>
      <name val="Arial"/>
      <family val="2"/>
    </font>
    <font>
      <b/>
      <sz val="10"/>
      <color theme="1"/>
      <name val="Calibri"/>
      <family val="2"/>
      <scheme val="minor"/>
    </font>
    <font>
      <sz val="10"/>
      <color rgb="FFC00000"/>
      <name val="Calibri"/>
      <family val="2"/>
      <scheme val="minor"/>
    </font>
    <font>
      <sz val="8"/>
      <color theme="0" tint="-0.499984740745262"/>
      <name val="Calibri"/>
      <family val="2"/>
      <scheme val="minor"/>
    </font>
    <font>
      <sz val="10"/>
      <color rgb="FFFF0000"/>
      <name val="Calibri"/>
      <family val="2"/>
      <scheme val="minor"/>
    </font>
    <font>
      <b/>
      <sz val="8"/>
      <color theme="0" tint="-0.499984740745262"/>
      <name val="Calibri"/>
      <family val="2"/>
      <scheme val="minor"/>
    </font>
    <font>
      <sz val="8"/>
      <color theme="1"/>
      <name val="Calibri"/>
      <family val="2"/>
      <scheme val="minor"/>
    </font>
    <font>
      <b/>
      <sz val="10"/>
      <color theme="9" tint="-0.249977111117893"/>
      <name val="Calibri"/>
      <family val="2"/>
      <scheme val="minor"/>
    </font>
    <font>
      <sz val="10"/>
      <color theme="0" tint="-0.499984740745262"/>
      <name val="Calibri"/>
      <family val="2"/>
      <scheme val="minor"/>
    </font>
    <font>
      <i/>
      <sz val="8"/>
      <name val="Arial"/>
      <family val="2"/>
    </font>
    <font>
      <b/>
      <sz val="11"/>
      <name val="Calibri"/>
      <family val="2"/>
      <scheme val="minor"/>
    </font>
    <font>
      <sz val="10"/>
      <name val="Arial"/>
      <family val="2"/>
    </font>
    <font>
      <b/>
      <sz val="10"/>
      <color theme="0"/>
      <name val="Arial"/>
      <family val="2"/>
    </font>
    <font>
      <sz val="12"/>
      <name val="Arial"/>
      <family val="2"/>
    </font>
    <font>
      <b/>
      <sz val="14"/>
      <color theme="0"/>
      <name val="Calibri"/>
      <family val="2"/>
      <scheme val="minor"/>
    </font>
    <font>
      <b/>
      <sz val="10"/>
      <color theme="1"/>
      <name val="Arial"/>
      <family val="2"/>
    </font>
    <font>
      <sz val="11"/>
      <color theme="1"/>
      <name val="Arial"/>
      <family val="2"/>
    </font>
    <font>
      <b/>
      <sz val="10"/>
      <name val="Arial"/>
      <family val="2"/>
    </font>
    <font>
      <b/>
      <sz val="18"/>
      <color theme="0"/>
      <name val="Arial"/>
      <family val="2"/>
    </font>
    <font>
      <b/>
      <sz val="11"/>
      <color theme="1" tint="0.499984740745262"/>
      <name val="Arial"/>
      <family val="2"/>
    </font>
    <font>
      <b/>
      <sz val="11"/>
      <color theme="0"/>
      <name val="Arial"/>
      <family val="2"/>
    </font>
    <font>
      <b/>
      <sz val="16"/>
      <color theme="0"/>
      <name val="Arial"/>
      <family val="2"/>
    </font>
    <font>
      <b/>
      <sz val="11"/>
      <name val="Arial"/>
      <family val="2"/>
    </font>
    <font>
      <sz val="11"/>
      <color rgb="FFFFFF00"/>
      <name val="Arial"/>
      <family val="2"/>
    </font>
    <font>
      <b/>
      <sz val="11"/>
      <color theme="1"/>
      <name val="Arial"/>
      <family val="2"/>
    </font>
    <font>
      <sz val="12"/>
      <color theme="1"/>
      <name val="Arial"/>
      <family val="2"/>
    </font>
    <font>
      <b/>
      <sz val="12"/>
      <color theme="0"/>
      <name val="Arial"/>
      <family val="2"/>
    </font>
    <font>
      <sz val="11"/>
      <color theme="0"/>
      <name val="Arial"/>
      <family val="2"/>
    </font>
    <font>
      <sz val="14"/>
      <color theme="1"/>
      <name val="Arial"/>
      <family val="2"/>
    </font>
    <font>
      <sz val="14"/>
      <color theme="0"/>
      <name val="Arial"/>
      <family val="2"/>
    </font>
    <font>
      <b/>
      <sz val="10"/>
      <color indexed="8"/>
      <name val="Arial"/>
      <family val="2"/>
    </font>
    <font>
      <sz val="11"/>
      <color theme="2" tint="-0.249977111117893"/>
      <name val="Arial"/>
      <family val="2"/>
    </font>
    <font>
      <i/>
      <sz val="11"/>
      <color theme="2" tint="-0.249977111117893"/>
      <name val="Arial"/>
      <family val="2"/>
    </font>
    <font>
      <b/>
      <sz val="10"/>
      <color rgb="FFFF0000"/>
      <name val="Arial"/>
      <family val="2"/>
    </font>
    <font>
      <b/>
      <sz val="9"/>
      <color theme="1"/>
      <name val="Arial"/>
      <family val="2"/>
    </font>
    <font>
      <sz val="9"/>
      <color theme="1"/>
      <name val="Arial"/>
      <family val="2"/>
    </font>
    <font>
      <b/>
      <sz val="14"/>
      <color theme="0"/>
      <name val="Arial"/>
      <family val="2"/>
    </font>
    <font>
      <b/>
      <sz val="12"/>
      <color theme="1"/>
      <name val="Arial"/>
      <family val="2"/>
    </font>
    <font>
      <u/>
      <sz val="11"/>
      <color theme="1"/>
      <name val="Arial"/>
      <family val="2"/>
    </font>
    <font>
      <b/>
      <sz val="14"/>
      <color theme="1"/>
      <name val="Arial"/>
      <family val="2"/>
    </font>
    <font>
      <i/>
      <sz val="10"/>
      <color theme="1"/>
      <name val="Calibri"/>
      <family val="2"/>
      <scheme val="minor"/>
    </font>
    <font>
      <b/>
      <i/>
      <sz val="10"/>
      <color theme="0"/>
      <name val="Calibri"/>
      <family val="2"/>
      <scheme val="minor"/>
    </font>
    <font>
      <b/>
      <sz val="16"/>
      <color theme="0"/>
      <name val="Calibri"/>
      <family val="2"/>
      <scheme val="minor"/>
    </font>
    <font>
      <sz val="12"/>
      <color theme="1"/>
      <name val="Calibri Light"/>
      <family val="2"/>
      <scheme val="major"/>
    </font>
    <font>
      <b/>
      <sz val="11"/>
      <color theme="0"/>
      <name val="Calibri Light"/>
      <family val="2"/>
      <scheme val="major"/>
    </font>
    <font>
      <b/>
      <sz val="12"/>
      <color theme="0"/>
      <name val="Calibri"/>
      <family val="2"/>
      <scheme val="minor"/>
    </font>
    <font>
      <i/>
      <sz val="11"/>
      <color rgb="FFFF0000"/>
      <name val="Calibri"/>
      <family val="2"/>
      <scheme val="minor"/>
    </font>
    <font>
      <i/>
      <sz val="12"/>
      <color rgb="FFFF0000"/>
      <name val="Calibri"/>
      <family val="2"/>
      <scheme val="minor"/>
    </font>
    <font>
      <b/>
      <i/>
      <sz val="10"/>
      <color theme="1"/>
      <name val="Calibri"/>
      <family val="2"/>
      <scheme val="minor"/>
    </font>
    <font>
      <b/>
      <sz val="18"/>
      <name val="Calibri"/>
      <family val="2"/>
      <scheme val="minor"/>
    </font>
    <font>
      <i/>
      <sz val="16"/>
      <color theme="0"/>
      <name val="Calibri (Body)"/>
    </font>
  </fonts>
  <fills count="18">
    <fill>
      <patternFill patternType="none"/>
    </fill>
    <fill>
      <patternFill patternType="gray125"/>
    </fill>
    <fill>
      <patternFill patternType="solid">
        <fgColor indexed="65"/>
        <bgColor theme="0"/>
      </patternFill>
    </fill>
    <fill>
      <patternFill patternType="solid">
        <fgColor theme="0" tint="-4.9989318521683403E-2"/>
        <bgColor indexed="64"/>
      </patternFill>
    </fill>
    <fill>
      <patternFill patternType="solid">
        <fgColor theme="0" tint="-0.499984740745262"/>
        <bgColor indexed="64"/>
      </patternFill>
    </fill>
    <fill>
      <patternFill patternType="solid">
        <fgColor rgb="FFC00000"/>
        <bgColor indexed="64"/>
      </patternFill>
    </fill>
    <fill>
      <patternFill patternType="solid">
        <fgColor rgb="FFFF9797"/>
        <bgColor indexed="64"/>
      </patternFill>
    </fill>
    <fill>
      <patternFill patternType="solid">
        <fgColor theme="0" tint="-0.14999847407452621"/>
        <bgColor indexed="64"/>
      </patternFill>
    </fill>
    <fill>
      <patternFill patternType="solid">
        <fgColor rgb="FFFFC1C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2"/>
        <bgColor indexed="64"/>
      </patternFill>
    </fill>
    <fill>
      <patternFill patternType="solid">
        <fgColor theme="2" tint="-0.499984740745262"/>
        <bgColor indexed="64"/>
      </patternFill>
    </fill>
    <fill>
      <patternFill patternType="solid">
        <fgColor rgb="FFC10000"/>
        <bgColor indexed="64"/>
      </patternFill>
    </fill>
    <fill>
      <patternFill patternType="solid">
        <fgColor theme="8" tint="0.59999389629810485"/>
        <bgColor indexed="64"/>
      </patternFill>
    </fill>
    <fill>
      <patternFill patternType="solid">
        <fgColor theme="1" tint="0.34998626667073579"/>
        <bgColor indexed="64"/>
      </patternFill>
    </fill>
    <fill>
      <patternFill patternType="solid">
        <fgColor rgb="FFFFD966"/>
        <bgColor indexed="64"/>
      </patternFill>
    </fill>
  </fills>
  <borders count="57">
    <border>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1"/>
      </bottom>
      <diagonal/>
    </border>
    <border>
      <left style="medium">
        <color theme="1"/>
      </left>
      <right style="medium">
        <color theme="1"/>
      </right>
      <top style="medium">
        <color theme="1"/>
      </top>
      <bottom style="medium">
        <color theme="1"/>
      </bottom>
      <diagonal/>
    </border>
    <border>
      <left style="medium">
        <color theme="0"/>
      </left>
      <right style="medium">
        <color theme="0"/>
      </right>
      <top style="medium">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indexed="64"/>
      </top>
      <bottom style="thin">
        <color indexed="64"/>
      </bottom>
      <diagonal/>
    </border>
    <border>
      <left/>
      <right/>
      <top style="thin">
        <color indexed="64"/>
      </top>
      <bottom/>
      <diagonal/>
    </border>
    <border>
      <left style="thin">
        <color theme="0"/>
      </left>
      <right style="thin">
        <color theme="0"/>
      </right>
      <top style="thin">
        <color theme="0"/>
      </top>
      <bottom/>
      <diagonal/>
    </border>
    <border>
      <left/>
      <right/>
      <top/>
      <bottom style="thin">
        <color auto="1"/>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style="thin">
        <color theme="0"/>
      </right>
      <top style="thin">
        <color indexed="64"/>
      </top>
      <bottom/>
      <diagonal/>
    </border>
    <border>
      <left style="medium">
        <color theme="0"/>
      </left>
      <right/>
      <top/>
      <bottom style="medium">
        <color theme="0"/>
      </bottom>
      <diagonal/>
    </border>
    <border>
      <left style="medium">
        <color theme="0"/>
      </left>
      <right/>
      <top style="medium">
        <color theme="0"/>
      </top>
      <bottom style="thick">
        <color theme="0"/>
      </bottom>
      <diagonal/>
    </border>
    <border>
      <left style="thick">
        <color theme="0"/>
      </left>
      <right style="thick">
        <color theme="0"/>
      </right>
      <top style="thick">
        <color theme="0"/>
      </top>
      <bottom style="thick">
        <color theme="0"/>
      </bottom>
      <diagonal/>
    </border>
    <border>
      <left style="medium">
        <color theme="0"/>
      </left>
      <right/>
      <top style="medium">
        <color theme="0"/>
      </top>
      <bottom/>
      <diagonal/>
    </border>
    <border>
      <left/>
      <right/>
      <top style="medium">
        <color theme="0"/>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medium">
        <color theme="0"/>
      </left>
      <right/>
      <top/>
      <bottom/>
      <diagonal/>
    </border>
    <border>
      <left style="medium">
        <color theme="0"/>
      </left>
      <right/>
      <top style="medium">
        <color theme="0"/>
      </top>
      <bottom style="thin">
        <color theme="1"/>
      </bottom>
      <diagonal/>
    </border>
    <border>
      <left/>
      <right/>
      <top style="medium">
        <color theme="0"/>
      </top>
      <bottom style="thin">
        <color theme="1"/>
      </bottom>
      <diagonal/>
    </border>
    <border>
      <left/>
      <right/>
      <top/>
      <bottom style="medium">
        <color theme="0"/>
      </bottom>
      <diagonal/>
    </border>
    <border>
      <left/>
      <right style="medium">
        <color theme="0"/>
      </right>
      <top/>
      <bottom style="medium">
        <color theme="0"/>
      </bottom>
      <diagonal/>
    </border>
    <border>
      <left/>
      <right style="medium">
        <color theme="0"/>
      </right>
      <top/>
      <bottom/>
      <diagonal/>
    </border>
    <border>
      <left style="medium">
        <color theme="0"/>
      </left>
      <right style="medium">
        <color theme="0"/>
      </right>
      <top style="medium">
        <color theme="0"/>
      </top>
      <bottom style="thick">
        <color theme="0"/>
      </bottom>
      <diagonal/>
    </border>
    <border>
      <left style="thin">
        <color theme="0"/>
      </left>
      <right style="medium">
        <color theme="0"/>
      </right>
      <top style="thin">
        <color theme="0"/>
      </top>
      <bottom style="thin">
        <color theme="0"/>
      </bottom>
      <diagonal/>
    </border>
    <border>
      <left style="medium">
        <color theme="0"/>
      </left>
      <right/>
      <top style="thin">
        <color theme="0"/>
      </top>
      <bottom style="thin">
        <color theme="0"/>
      </bottom>
      <diagonal/>
    </border>
    <border>
      <left style="thin">
        <color theme="0"/>
      </left>
      <right style="medium">
        <color theme="0"/>
      </right>
      <top style="thin">
        <color theme="0"/>
      </top>
      <bottom style="medium">
        <color theme="0"/>
      </bottom>
      <diagonal/>
    </border>
    <border>
      <left style="medium">
        <color theme="0"/>
      </left>
      <right/>
      <top style="thin">
        <color theme="0"/>
      </top>
      <bottom style="medium">
        <color theme="0"/>
      </bottom>
      <diagonal/>
    </border>
    <border>
      <left style="medium">
        <color theme="0"/>
      </left>
      <right style="medium">
        <color theme="0"/>
      </right>
      <top style="medium">
        <color theme="0"/>
      </top>
      <bottom style="thin">
        <color indexed="64"/>
      </bottom>
      <diagonal/>
    </border>
    <border>
      <left/>
      <right style="medium">
        <color theme="0"/>
      </right>
      <top style="medium">
        <color theme="0"/>
      </top>
      <bottom style="thin">
        <color indexed="64"/>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style="medium">
        <color theme="0"/>
      </left>
      <right/>
      <top style="thin">
        <color indexed="64"/>
      </top>
      <bottom style="thin">
        <color indexed="64"/>
      </bottom>
      <diagonal/>
    </border>
    <border>
      <left style="medium">
        <color theme="0"/>
      </left>
      <right style="medium">
        <color theme="0"/>
      </right>
      <top style="thin">
        <color indexed="64"/>
      </top>
      <bottom style="thin">
        <color indexed="64"/>
      </bottom>
      <diagonal/>
    </border>
    <border>
      <left style="medium">
        <color theme="0"/>
      </left>
      <right style="thin">
        <color indexed="64"/>
      </right>
      <top style="thin">
        <color indexed="64"/>
      </top>
      <bottom style="thin">
        <color indexed="64"/>
      </bottom>
      <diagonal/>
    </border>
    <border>
      <left style="medium">
        <color theme="0"/>
      </left>
      <right/>
      <top style="thick">
        <color theme="0"/>
      </top>
      <bottom style="medium">
        <color theme="0"/>
      </bottom>
      <diagonal/>
    </border>
    <border>
      <left/>
      <right/>
      <top style="thick">
        <color theme="0"/>
      </top>
      <bottom style="medium">
        <color theme="0"/>
      </bottom>
      <diagonal/>
    </border>
    <border>
      <left style="thin">
        <color theme="0"/>
      </left>
      <right/>
      <top/>
      <bottom style="thin">
        <color theme="0"/>
      </bottom>
      <diagonal/>
    </border>
    <border>
      <left style="medium">
        <color theme="0"/>
      </left>
      <right/>
      <top/>
      <bottom style="thin">
        <color theme="0"/>
      </bottom>
      <diagonal/>
    </border>
    <border>
      <left/>
      <right/>
      <top/>
      <bottom style="thin">
        <color theme="0"/>
      </bottom>
      <diagonal/>
    </border>
    <border>
      <left style="medium">
        <color theme="0"/>
      </left>
      <right style="medium">
        <color theme="0"/>
      </right>
      <top/>
      <bottom/>
      <diagonal/>
    </border>
    <border>
      <left/>
      <right style="medium">
        <color theme="0"/>
      </right>
      <top style="medium">
        <color theme="0"/>
      </top>
      <bottom/>
      <diagonal/>
    </border>
    <border>
      <left/>
      <right/>
      <top style="hair">
        <color rgb="FFD9D9D9"/>
      </top>
      <bottom/>
      <diagonal/>
    </border>
    <border>
      <left/>
      <right/>
      <top/>
      <bottom style="hair">
        <color rgb="FFD9D9D9"/>
      </bottom>
      <diagonal/>
    </border>
    <border>
      <left style="thick">
        <color rgb="FFD9D9D9"/>
      </left>
      <right/>
      <top style="medium">
        <color theme="0"/>
      </top>
      <bottom style="medium">
        <color theme="0"/>
      </bottom>
      <diagonal/>
    </border>
    <border>
      <left style="medium">
        <color theme="0"/>
      </left>
      <right style="medium">
        <color theme="0"/>
      </right>
      <top style="hair">
        <color rgb="FFD9D9D9"/>
      </top>
      <bottom/>
      <diagonal/>
    </border>
    <border>
      <left/>
      <right/>
      <top style="hair">
        <color rgb="FFD9D9D9"/>
      </top>
      <bottom style="medium">
        <color theme="0"/>
      </bottom>
      <diagonal/>
    </border>
  </borders>
  <cellStyleXfs count="6">
    <xf numFmtId="0" fontId="0" fillId="0" borderId="0"/>
    <xf numFmtId="43" fontId="2" fillId="0" borderId="0" applyFont="0" applyFill="0" applyBorder="0" applyAlignment="0" applyProtection="0"/>
    <xf numFmtId="9" fontId="2" fillId="0" borderId="0" applyFont="0" applyFill="0" applyBorder="0" applyAlignment="0" applyProtection="0"/>
    <xf numFmtId="0" fontId="30" fillId="0" borderId="0">
      <alignment horizontal="left" wrapText="1"/>
    </xf>
    <xf numFmtId="0" fontId="32" fillId="0" borderId="0"/>
    <xf numFmtId="164" fontId="2" fillId="0" borderId="0" applyFont="0" applyFill="0" applyBorder="0" applyAlignment="0" applyProtection="0"/>
  </cellStyleXfs>
  <cellXfs count="674">
    <xf numFmtId="0" fontId="0" fillId="0" borderId="0" xfId="0"/>
    <xf numFmtId="43" fontId="0" fillId="0" borderId="0" xfId="1" applyFont="1"/>
    <xf numFmtId="0" fontId="0" fillId="2" borderId="0" xfId="0" applyFill="1" applyAlignment="1">
      <alignment horizontal="right"/>
    </xf>
    <xf numFmtId="0" fontId="0" fillId="2" borderId="0" xfId="0" applyFill="1"/>
    <xf numFmtId="0" fontId="0" fillId="2" borderId="0" xfId="0" applyFill="1" applyAlignment="1">
      <alignment horizontal="left"/>
    </xf>
    <xf numFmtId="0" fontId="6" fillId="2" borderId="0" xfId="0" applyFont="1" applyFill="1" applyAlignment="1">
      <alignment horizontal="left" vertical="center" indent="6"/>
    </xf>
    <xf numFmtId="49" fontId="0" fillId="2" borderId="0" xfId="0" applyNumberFormat="1" applyFill="1" applyAlignment="1">
      <alignment horizontal="center"/>
    </xf>
    <xf numFmtId="0" fontId="0" fillId="2" borderId="0" xfId="0" applyFill="1" applyAlignment="1">
      <alignment vertical="center" wrapText="1"/>
    </xf>
    <xf numFmtId="0" fontId="8" fillId="2" borderId="0" xfId="0" applyFont="1" applyFill="1"/>
    <xf numFmtId="0" fontId="9" fillId="2" borderId="0" xfId="0" applyFont="1" applyFill="1"/>
    <xf numFmtId="0" fontId="0" fillId="0" borderId="0" xfId="0" applyAlignment="1">
      <alignment vertical="center"/>
    </xf>
    <xf numFmtId="0" fontId="18" fillId="7"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3" fillId="0" borderId="1" xfId="0" applyFont="1" applyBorder="1" applyAlignment="1">
      <alignment vertical="center"/>
    </xf>
    <xf numFmtId="0" fontId="13" fillId="0" borderId="1" xfId="0" applyFont="1" applyBorder="1" applyAlignment="1">
      <alignment vertical="center" wrapText="1"/>
    </xf>
    <xf numFmtId="0" fontId="12" fillId="0" borderId="1" xfId="0" applyFont="1" applyBorder="1" applyAlignment="1">
      <alignment horizontal="left" vertical="center"/>
    </xf>
    <xf numFmtId="0" fontId="18" fillId="0" borderId="1" xfId="0" applyFont="1" applyBorder="1" applyAlignment="1">
      <alignment vertical="center" wrapText="1"/>
    </xf>
    <xf numFmtId="0" fontId="14" fillId="0" borderId="1" xfId="0" applyFont="1" applyBorder="1" applyAlignment="1">
      <alignment horizontal="center" vertical="center" wrapText="1"/>
    </xf>
    <xf numFmtId="0" fontId="14" fillId="0" borderId="1" xfId="0" applyFont="1" applyBorder="1" applyAlignment="1">
      <alignment vertical="center" wrapText="1"/>
    </xf>
    <xf numFmtId="0" fontId="19" fillId="0" borderId="1" xfId="0" applyFont="1" applyBorder="1" applyAlignment="1">
      <alignment vertical="center"/>
    </xf>
    <xf numFmtId="0" fontId="19" fillId="0" borderId="1" xfId="0" applyFont="1" applyBorder="1" applyAlignment="1">
      <alignment horizontal="center" vertical="center"/>
    </xf>
    <xf numFmtId="0" fontId="13" fillId="3" borderId="1" xfId="0" applyFont="1" applyFill="1" applyBorder="1" applyAlignment="1">
      <alignment horizontal="left" vertical="center"/>
    </xf>
    <xf numFmtId="14" fontId="19" fillId="0" borderId="1" xfId="0" applyNumberFormat="1" applyFont="1" applyBorder="1" applyAlignment="1">
      <alignment horizontal="center" vertical="center"/>
    </xf>
    <xf numFmtId="0" fontId="10" fillId="0" borderId="1" xfId="0" applyFont="1" applyBorder="1" applyAlignment="1">
      <alignment vertical="center"/>
    </xf>
    <xf numFmtId="0" fontId="19" fillId="3" borderId="1" xfId="0" applyFont="1" applyFill="1" applyBorder="1" applyAlignment="1">
      <alignment horizontal="center" vertical="center"/>
    </xf>
    <xf numFmtId="0" fontId="3" fillId="0" borderId="1" xfId="0" applyFont="1" applyBorder="1" applyAlignment="1">
      <alignment vertical="center"/>
    </xf>
    <xf numFmtId="0" fontId="11" fillId="5" borderId="1" xfId="0" applyFont="1" applyFill="1" applyBorder="1" applyAlignment="1">
      <alignment vertical="center" wrapText="1"/>
    </xf>
    <xf numFmtId="0" fontId="19" fillId="7" borderId="1" xfId="0" applyFont="1" applyFill="1" applyBorder="1" applyAlignment="1">
      <alignment vertical="center"/>
    </xf>
    <xf numFmtId="0" fontId="19" fillId="5" borderId="1" xfId="0" applyFont="1" applyFill="1" applyBorder="1" applyAlignment="1">
      <alignment vertical="center"/>
    </xf>
    <xf numFmtId="0" fontId="20" fillId="0" borderId="1" xfId="0" applyFont="1" applyBorder="1" applyAlignment="1">
      <alignment horizontal="center" vertical="center"/>
    </xf>
    <xf numFmtId="0" fontId="13" fillId="0" borderId="1" xfId="0" applyFont="1" applyBorder="1" applyAlignment="1">
      <alignment horizontal="left" vertical="center"/>
    </xf>
    <xf numFmtId="0" fontId="20" fillId="7" borderId="1" xfId="0" applyFont="1" applyFill="1" applyBorder="1" applyAlignment="1">
      <alignment horizontal="left" vertical="center" indent="1"/>
    </xf>
    <xf numFmtId="0" fontId="13" fillId="0" borderId="1" xfId="0" applyFont="1" applyBorder="1" applyAlignment="1">
      <alignment horizontal="left" vertical="center" indent="1"/>
    </xf>
    <xf numFmtId="0" fontId="19" fillId="0" borderId="1" xfId="0" applyFont="1" applyBorder="1" applyAlignment="1">
      <alignment horizontal="left" vertical="center" indent="1"/>
    </xf>
    <xf numFmtId="0" fontId="13" fillId="3" borderId="1" xfId="0" applyFont="1" applyFill="1" applyBorder="1" applyAlignment="1">
      <alignment horizontal="left" vertical="center" indent="1"/>
    </xf>
    <xf numFmtId="0" fontId="20" fillId="3" borderId="1" xfId="0" applyFont="1" applyFill="1" applyBorder="1" applyAlignment="1">
      <alignment horizontal="left" vertical="center" indent="1"/>
    </xf>
    <xf numFmtId="0" fontId="13" fillId="0" borderId="1" xfId="0" applyFont="1" applyBorder="1" applyAlignment="1">
      <alignment horizontal="left" vertical="center" wrapText="1" indent="1"/>
    </xf>
    <xf numFmtId="0" fontId="12" fillId="0" borderId="1" xfId="0" applyFont="1" applyBorder="1" applyAlignment="1">
      <alignment horizontal="left" vertical="center" wrapText="1" indent="1"/>
    </xf>
    <xf numFmtId="0" fontId="13" fillId="3" borderId="1" xfId="0" applyFont="1" applyFill="1" applyBorder="1" applyAlignment="1">
      <alignment horizontal="left" vertical="center" wrapText="1" indent="1"/>
    </xf>
    <xf numFmtId="0" fontId="18" fillId="8" borderId="1" xfId="0" applyFont="1" applyFill="1" applyBorder="1" applyAlignment="1">
      <alignment horizontal="left" vertical="center" wrapText="1" indent="1"/>
    </xf>
    <xf numFmtId="0" fontId="13" fillId="6" borderId="1" xfId="0" applyFont="1" applyFill="1" applyBorder="1" applyAlignment="1">
      <alignment horizontal="left" vertical="center" wrapText="1" indent="1"/>
    </xf>
    <xf numFmtId="0" fontId="14" fillId="0" borderId="1" xfId="0" applyFont="1" applyBorder="1" applyAlignment="1">
      <alignment horizontal="left" vertical="center" wrapText="1" indent="1"/>
    </xf>
    <xf numFmtId="0" fontId="22" fillId="0" borderId="1" xfId="0" applyFont="1" applyBorder="1" applyAlignment="1">
      <alignment horizontal="center" vertical="center"/>
    </xf>
    <xf numFmtId="0" fontId="23" fillId="0" borderId="1" xfId="0" applyFont="1" applyBorder="1" applyAlignment="1">
      <alignment vertical="center"/>
    </xf>
    <xf numFmtId="0" fontId="20" fillId="0" borderId="1" xfId="0" applyFont="1" applyBorder="1" applyAlignment="1">
      <alignment vertical="center"/>
    </xf>
    <xf numFmtId="0" fontId="13" fillId="7" borderId="1" xfId="0" applyFont="1" applyFill="1" applyBorder="1" applyAlignment="1">
      <alignment vertical="center"/>
    </xf>
    <xf numFmtId="14" fontId="13" fillId="3" borderId="1" xfId="0" applyNumberFormat="1" applyFont="1" applyFill="1" applyBorder="1" applyAlignment="1">
      <alignment horizontal="center" vertical="center"/>
    </xf>
    <xf numFmtId="0" fontId="24" fillId="7" borderId="1" xfId="0" applyFont="1" applyFill="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43" fontId="13" fillId="0" borderId="1" xfId="0" applyNumberFormat="1" applyFont="1" applyBorder="1" applyAlignment="1">
      <alignment horizontal="center" vertical="center"/>
    </xf>
    <xf numFmtId="0" fontId="13" fillId="5" borderId="1" xfId="0" applyFont="1" applyFill="1" applyBorder="1" applyAlignment="1">
      <alignment vertical="center"/>
    </xf>
    <xf numFmtId="0" fontId="20" fillId="0" borderId="1" xfId="0" applyFont="1" applyBorder="1" applyAlignment="1">
      <alignment horizontal="left" vertical="center"/>
    </xf>
    <xf numFmtId="165" fontId="13" fillId="3" borderId="1" xfId="0" applyNumberFormat="1" applyFont="1" applyFill="1" applyBorder="1" applyAlignment="1">
      <alignment horizontal="center" vertical="center"/>
    </xf>
    <xf numFmtId="0" fontId="25" fillId="7" borderId="1" xfId="0" applyFont="1" applyFill="1" applyBorder="1" applyAlignment="1">
      <alignment horizontal="center" vertical="center"/>
    </xf>
    <xf numFmtId="0" fontId="13" fillId="3" borderId="1" xfId="0" applyFont="1" applyFill="1" applyBorder="1" applyAlignment="1">
      <alignment horizontal="center" vertical="center"/>
    </xf>
    <xf numFmtId="167" fontId="13" fillId="3" borderId="1" xfId="0" applyNumberFormat="1" applyFont="1" applyFill="1" applyBorder="1" applyAlignment="1">
      <alignment horizontal="right" vertical="center"/>
    </xf>
    <xf numFmtId="166" fontId="13" fillId="3" borderId="1" xfId="0" applyNumberFormat="1" applyFont="1" applyFill="1" applyBorder="1" applyAlignment="1">
      <alignment horizontal="right" vertical="center"/>
    </xf>
    <xf numFmtId="165" fontId="24" fillId="7" borderId="1" xfId="0" applyNumberFormat="1" applyFont="1" applyFill="1" applyBorder="1" applyAlignment="1">
      <alignment horizontal="center" vertical="center"/>
    </xf>
    <xf numFmtId="0" fontId="13" fillId="3" borderId="1" xfId="0" applyFont="1" applyFill="1" applyBorder="1" applyAlignment="1">
      <alignment horizontal="right" vertical="center"/>
    </xf>
    <xf numFmtId="167" fontId="13" fillId="7" borderId="1" xfId="0" applyNumberFormat="1" applyFont="1" applyFill="1" applyBorder="1" applyAlignment="1">
      <alignment horizontal="center" vertical="center"/>
    </xf>
    <xf numFmtId="166" fontId="13" fillId="7" borderId="1" xfId="0" applyNumberFormat="1" applyFont="1" applyFill="1" applyBorder="1" applyAlignment="1">
      <alignment horizontal="center" vertical="center"/>
    </xf>
    <xf numFmtId="0" fontId="13" fillId="0" borderId="1" xfId="0" applyFont="1" applyBorder="1" applyAlignment="1">
      <alignment horizontal="right" vertical="center"/>
    </xf>
    <xf numFmtId="168" fontId="13" fillId="7" borderId="1" xfId="1" applyNumberFormat="1" applyFont="1" applyFill="1" applyBorder="1" applyAlignment="1">
      <alignment horizontal="center" vertical="center"/>
    </xf>
    <xf numFmtId="0" fontId="26" fillId="0" borderId="1" xfId="0" applyFont="1" applyBorder="1" applyAlignment="1">
      <alignment vertical="center"/>
    </xf>
    <xf numFmtId="0" fontId="26" fillId="0" borderId="1" xfId="0" applyFont="1" applyBorder="1" applyAlignment="1">
      <alignment horizontal="center" vertical="center"/>
    </xf>
    <xf numFmtId="0" fontId="13" fillId="7" borderId="1" xfId="0" applyFont="1" applyFill="1" applyBorder="1" applyAlignment="1">
      <alignment horizontal="left" vertical="center" indent="1"/>
    </xf>
    <xf numFmtId="0" fontId="13" fillId="7"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22" fillId="7" borderId="1" xfId="0" applyFont="1" applyFill="1" applyBorder="1" applyAlignment="1">
      <alignment horizontal="center" vertical="center"/>
    </xf>
    <xf numFmtId="0" fontId="20" fillId="7" borderId="1" xfId="0" applyFont="1" applyFill="1" applyBorder="1" applyAlignment="1">
      <alignment horizontal="center" vertical="center"/>
    </xf>
    <xf numFmtId="43" fontId="20" fillId="3" borderId="1" xfId="0" applyNumberFormat="1" applyFont="1" applyFill="1" applyBorder="1" applyAlignment="1">
      <alignment horizontal="center" vertical="center"/>
    </xf>
    <xf numFmtId="0" fontId="11" fillId="5" borderId="1" xfId="0" applyFont="1" applyFill="1" applyBorder="1" applyAlignment="1">
      <alignment horizontal="center" vertical="center"/>
    </xf>
    <xf numFmtId="0" fontId="13" fillId="7" borderId="1" xfId="0" applyFont="1" applyFill="1" applyBorder="1" applyAlignment="1">
      <alignment horizontal="left" vertical="center" wrapText="1" indent="1"/>
    </xf>
    <xf numFmtId="0" fontId="22" fillId="0" borderId="1" xfId="0" applyFont="1" applyBorder="1" applyAlignment="1">
      <alignment horizontal="right" vertical="center"/>
    </xf>
    <xf numFmtId="0" fontId="13" fillId="3" borderId="1" xfId="0" applyFont="1" applyFill="1" applyBorder="1" applyAlignment="1">
      <alignment horizontal="left" vertical="top" wrapText="1" indent="1"/>
    </xf>
    <xf numFmtId="0" fontId="13" fillId="7" borderId="1" xfId="0" applyFont="1" applyFill="1" applyBorder="1" applyAlignment="1">
      <alignment horizontal="center" vertical="center" wrapText="1"/>
    </xf>
    <xf numFmtId="0" fontId="20" fillId="7" borderId="1"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13" fillId="0" borderId="5"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0" fontId="11" fillId="5" borderId="4" xfId="0" applyFont="1" applyFill="1" applyBorder="1" applyAlignment="1">
      <alignment vertical="center"/>
    </xf>
    <xf numFmtId="0" fontId="28" fillId="3" borderId="1" xfId="0" applyFont="1" applyFill="1" applyBorder="1" applyAlignment="1">
      <alignment horizontal="left" vertical="center" wrapText="1"/>
    </xf>
    <xf numFmtId="0" fontId="18" fillId="0" borderId="1" xfId="0" applyFont="1" applyBorder="1" applyAlignment="1">
      <alignment vertical="center"/>
    </xf>
    <xf numFmtId="0" fontId="29" fillId="0" borderId="1" xfId="0" applyFont="1" applyBorder="1" applyAlignment="1">
      <alignment horizontal="center" vertical="center" wrapText="1"/>
    </xf>
    <xf numFmtId="0" fontId="30" fillId="0" borderId="1" xfId="0" applyFont="1" applyBorder="1" applyAlignment="1">
      <alignment horizontal="center" vertical="center"/>
    </xf>
    <xf numFmtId="0" fontId="30" fillId="0" borderId="1" xfId="0" applyFont="1" applyBorder="1" applyAlignment="1">
      <alignment vertical="center"/>
    </xf>
    <xf numFmtId="0" fontId="31" fillId="5" borderId="1" xfId="0" applyFont="1" applyFill="1" applyBorder="1" applyAlignment="1">
      <alignment vertical="center"/>
    </xf>
    <xf numFmtId="9" fontId="19" fillId="0" borderId="0" xfId="2" applyFont="1" applyFill="1" applyBorder="1" applyAlignment="1">
      <alignment horizontal="center" vertical="center"/>
    </xf>
    <xf numFmtId="0" fontId="19" fillId="0" borderId="1" xfId="0" applyFont="1" applyBorder="1" applyAlignment="1">
      <alignment horizontal="left" vertical="center"/>
    </xf>
    <xf numFmtId="0" fontId="13" fillId="0" borderId="1" xfId="0" applyFont="1" applyBorder="1" applyAlignment="1">
      <alignment horizontal="left" vertical="center" wrapText="1"/>
    </xf>
    <xf numFmtId="0" fontId="3" fillId="0" borderId="1" xfId="0" applyFont="1" applyBorder="1" applyAlignment="1">
      <alignment horizontal="left" vertical="center" wrapText="1"/>
    </xf>
    <xf numFmtId="0" fontId="1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3" fillId="8" borderId="1" xfId="0" applyFont="1" applyFill="1" applyBorder="1" applyAlignment="1" applyProtection="1">
      <alignment horizontal="center" vertical="center" wrapText="1"/>
      <protection locked="0"/>
    </xf>
    <xf numFmtId="0" fontId="19" fillId="8" borderId="1" xfId="0" applyFont="1" applyFill="1" applyBorder="1" applyAlignment="1" applyProtection="1">
      <alignment horizontal="center" vertical="center"/>
      <protection locked="0"/>
    </xf>
    <xf numFmtId="0" fontId="19" fillId="6" borderId="1" xfId="0" applyFont="1" applyFill="1" applyBorder="1" applyAlignment="1" applyProtection="1">
      <alignment horizontal="center" vertical="center"/>
      <protection locked="0"/>
    </xf>
    <xf numFmtId="9" fontId="19" fillId="0" borderId="1" xfId="2" applyFont="1" applyFill="1" applyBorder="1" applyAlignment="1">
      <alignment vertical="center"/>
    </xf>
    <xf numFmtId="9" fontId="19" fillId="8" borderId="1" xfId="2" applyFont="1" applyFill="1" applyBorder="1" applyAlignment="1" applyProtection="1">
      <alignment horizontal="center" vertical="center"/>
      <protection locked="0"/>
    </xf>
    <xf numFmtId="179" fontId="13" fillId="3" borderId="1" xfId="0"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186" fontId="19" fillId="8" borderId="1" xfId="0" applyNumberFormat="1" applyFont="1" applyFill="1" applyBorder="1" applyAlignment="1" applyProtection="1">
      <alignment horizontal="center" vertical="center"/>
      <protection locked="0"/>
    </xf>
    <xf numFmtId="0" fontId="35" fillId="0" borderId="9" xfId="0" applyFont="1" applyBorder="1" applyAlignment="1">
      <alignment vertical="center"/>
    </xf>
    <xf numFmtId="0" fontId="35" fillId="9" borderId="9" xfId="0" applyFont="1" applyFill="1" applyBorder="1" applyAlignment="1">
      <alignment vertical="center"/>
    </xf>
    <xf numFmtId="1" fontId="36" fillId="3" borderId="9" xfId="1" applyNumberFormat="1" applyFont="1" applyFill="1" applyBorder="1" applyAlignment="1" applyProtection="1">
      <alignment vertical="center" wrapText="1"/>
    </xf>
    <xf numFmtId="169" fontId="36" fillId="3" borderId="9" xfId="3" applyNumberFormat="1" applyFont="1" applyFill="1" applyBorder="1" applyAlignment="1">
      <alignment vertical="center" wrapText="1"/>
    </xf>
    <xf numFmtId="0" fontId="36" fillId="7" borderId="9" xfId="3" applyFont="1" applyFill="1" applyBorder="1" applyAlignment="1">
      <alignment vertical="center" wrapText="1"/>
    </xf>
    <xf numFmtId="0" fontId="35" fillId="9" borderId="0" xfId="0" applyFont="1" applyFill="1" applyAlignment="1">
      <alignment vertical="center"/>
    </xf>
    <xf numFmtId="0" fontId="10" fillId="9" borderId="0" xfId="0" applyFont="1" applyFill="1" applyAlignment="1">
      <alignment horizontal="right" vertical="center"/>
    </xf>
    <xf numFmtId="0" fontId="36" fillId="9" borderId="0" xfId="0" applyFont="1" applyFill="1" applyAlignment="1">
      <alignment horizontal="right" vertical="center"/>
    </xf>
    <xf numFmtId="0" fontId="30" fillId="9" borderId="0" xfId="0" applyFont="1" applyFill="1" applyAlignment="1">
      <alignment horizontal="right" vertical="center"/>
    </xf>
    <xf numFmtId="0" fontId="36" fillId="9" borderId="0" xfId="3" applyFont="1" applyFill="1" applyAlignment="1">
      <alignment vertical="center" wrapText="1"/>
    </xf>
    <xf numFmtId="0" fontId="19" fillId="7" borderId="1" xfId="0" applyFont="1" applyFill="1" applyBorder="1" applyAlignment="1">
      <alignment horizontal="left" vertical="center" indent="1"/>
    </xf>
    <xf numFmtId="0" fontId="35" fillId="9" borderId="0" xfId="0" applyFont="1" applyFill="1" applyAlignment="1">
      <alignment horizontal="right" vertical="center"/>
    </xf>
    <xf numFmtId="0" fontId="10" fillId="9" borderId="10" xfId="0" applyFont="1" applyFill="1" applyBorder="1" applyAlignment="1">
      <alignment vertical="center"/>
    </xf>
    <xf numFmtId="0" fontId="30" fillId="9" borderId="10" xfId="0" applyFont="1" applyFill="1" applyBorder="1" applyAlignment="1">
      <alignment vertical="center"/>
    </xf>
    <xf numFmtId="0" fontId="37" fillId="5" borderId="3" xfId="0" applyFont="1" applyFill="1" applyBorder="1" applyAlignment="1">
      <alignment vertical="center" wrapText="1"/>
    </xf>
    <xf numFmtId="0" fontId="37" fillId="5" borderId="4" xfId="0" applyFont="1" applyFill="1" applyBorder="1" applyAlignment="1">
      <alignment vertical="center" wrapText="1"/>
    </xf>
    <xf numFmtId="0" fontId="37" fillId="0" borderId="4" xfId="0" applyFont="1" applyBorder="1" applyAlignment="1">
      <alignment vertical="center" wrapText="1"/>
    </xf>
    <xf numFmtId="0" fontId="37" fillId="0" borderId="5" xfId="0" applyFont="1" applyBorder="1" applyAlignment="1">
      <alignment vertical="center" wrapText="1"/>
    </xf>
    <xf numFmtId="169" fontId="38" fillId="0" borderId="10" xfId="0" applyNumberFormat="1" applyFont="1" applyBorder="1" applyAlignment="1">
      <alignment vertical="center"/>
    </xf>
    <xf numFmtId="0" fontId="39" fillId="0" borderId="0" xfId="0" applyFont="1" applyAlignment="1">
      <alignment vertical="center"/>
    </xf>
    <xf numFmtId="0" fontId="39" fillId="9" borderId="0" xfId="0" applyFont="1" applyFill="1" applyAlignment="1">
      <alignment vertical="center"/>
    </xf>
    <xf numFmtId="0" fontId="10" fillId="9" borderId="9" xfId="0" applyFont="1" applyFill="1" applyBorder="1" applyAlignment="1">
      <alignment vertical="center"/>
    </xf>
    <xf numFmtId="0" fontId="30" fillId="9" borderId="9" xfId="0" applyFont="1" applyFill="1" applyBorder="1" applyAlignment="1">
      <alignment vertical="center"/>
    </xf>
    <xf numFmtId="0" fontId="35" fillId="0" borderId="0" xfId="0" applyFont="1" applyAlignment="1">
      <alignment vertical="center"/>
    </xf>
    <xf numFmtId="0" fontId="37" fillId="4" borderId="15" xfId="0" applyFont="1" applyFill="1" applyBorder="1" applyAlignment="1">
      <alignment vertical="center"/>
    </xf>
    <xf numFmtId="0" fontId="40" fillId="4" borderId="10" xfId="0" applyFont="1" applyFill="1" applyBorder="1" applyAlignment="1">
      <alignment horizontal="left" vertical="center"/>
    </xf>
    <xf numFmtId="0" fontId="30" fillId="9" borderId="0" xfId="0" applyFont="1" applyFill="1" applyAlignment="1">
      <alignment vertical="center"/>
    </xf>
    <xf numFmtId="0" fontId="41" fillId="11" borderId="3" xfId="0" applyFont="1" applyFill="1" applyBorder="1" applyAlignment="1">
      <alignment vertical="center"/>
    </xf>
    <xf numFmtId="0" fontId="41" fillId="11" borderId="4" xfId="0" applyFont="1" applyFill="1" applyBorder="1" applyAlignment="1">
      <alignment vertical="center"/>
    </xf>
    <xf numFmtId="0" fontId="19" fillId="7" borderId="1" xfId="0" applyFont="1" applyFill="1" applyBorder="1" applyAlignment="1">
      <alignment horizontal="center" vertical="center"/>
    </xf>
    <xf numFmtId="0" fontId="41" fillId="9" borderId="9" xfId="0" applyFont="1" applyFill="1" applyBorder="1" applyAlignment="1">
      <alignment vertical="center"/>
    </xf>
    <xf numFmtId="9" fontId="19" fillId="3" borderId="1" xfId="2" applyFont="1" applyFill="1" applyBorder="1" applyAlignment="1">
      <alignment horizontal="center" vertical="center"/>
    </xf>
    <xf numFmtId="0" fontId="36" fillId="9" borderId="0" xfId="0" applyFont="1" applyFill="1" applyAlignment="1">
      <alignment horizontal="center" vertical="center"/>
    </xf>
    <xf numFmtId="0" fontId="19" fillId="7" borderId="5" xfId="0" applyFont="1" applyFill="1" applyBorder="1" applyAlignment="1">
      <alignment vertical="center"/>
    </xf>
    <xf numFmtId="0" fontId="19" fillId="7" borderId="19" xfId="0" applyFont="1" applyFill="1" applyBorder="1" applyAlignment="1">
      <alignment horizontal="center" vertical="center"/>
    </xf>
    <xf numFmtId="169" fontId="35" fillId="9" borderId="0" xfId="0" applyNumberFormat="1" applyFont="1" applyFill="1" applyAlignment="1">
      <alignment vertical="center"/>
    </xf>
    <xf numFmtId="0" fontId="37" fillId="5" borderId="5" xfId="0" applyFont="1" applyFill="1" applyBorder="1" applyAlignment="1">
      <alignment vertical="center" wrapText="1"/>
    </xf>
    <xf numFmtId="0" fontId="40" fillId="4" borderId="35" xfId="0" applyFont="1" applyFill="1" applyBorder="1" applyAlignment="1">
      <alignment vertical="center"/>
    </xf>
    <xf numFmtId="0" fontId="35" fillId="4" borderId="10" xfId="0" applyFont="1" applyFill="1" applyBorder="1" applyAlignment="1">
      <alignment vertical="center"/>
    </xf>
    <xf numFmtId="0" fontId="39" fillId="4" borderId="10" xfId="0" applyFont="1" applyFill="1" applyBorder="1" applyAlignment="1">
      <alignment vertical="center"/>
    </xf>
    <xf numFmtId="169" fontId="38" fillId="10" borderId="10" xfId="0" applyNumberFormat="1" applyFont="1" applyFill="1" applyBorder="1" applyAlignment="1">
      <alignment vertical="center"/>
    </xf>
    <xf numFmtId="0" fontId="41" fillId="0" borderId="4" xfId="0" applyFont="1" applyBorder="1" applyAlignment="1">
      <alignment vertical="center"/>
    </xf>
    <xf numFmtId="0" fontId="41" fillId="11" borderId="5" xfId="0" applyFont="1" applyFill="1" applyBorder="1" applyAlignment="1">
      <alignment vertical="center"/>
    </xf>
    <xf numFmtId="0" fontId="19" fillId="7" borderId="3" xfId="0" applyFont="1" applyFill="1" applyBorder="1" applyAlignment="1">
      <alignment horizontal="center" vertical="center"/>
    </xf>
    <xf numFmtId="172" fontId="35" fillId="9" borderId="0" xfId="0" applyNumberFormat="1" applyFont="1" applyFill="1" applyAlignment="1">
      <alignment vertical="center"/>
    </xf>
    <xf numFmtId="170" fontId="19" fillId="3" borderId="1" xfId="2" applyNumberFormat="1" applyFont="1" applyFill="1" applyBorder="1" applyAlignment="1">
      <alignment vertical="center"/>
    </xf>
    <xf numFmtId="170" fontId="19" fillId="3" borderId="5" xfId="2" applyNumberFormat="1" applyFont="1" applyFill="1" applyBorder="1" applyAlignment="1">
      <alignment vertical="center"/>
    </xf>
    <xf numFmtId="0" fontId="34" fillId="7" borderId="3" xfId="0" applyFont="1" applyFill="1" applyBorder="1" applyAlignment="1">
      <alignment horizontal="center" vertical="center"/>
    </xf>
    <xf numFmtId="0" fontId="43" fillId="9" borderId="0" xfId="0" applyFont="1" applyFill="1" applyAlignment="1">
      <alignment vertical="center"/>
    </xf>
    <xf numFmtId="0" fontId="43" fillId="0" borderId="12" xfId="0" applyFont="1" applyBorder="1" applyAlignment="1">
      <alignment vertical="center"/>
    </xf>
    <xf numFmtId="172" fontId="43" fillId="9" borderId="0" xfId="0" applyNumberFormat="1" applyFont="1" applyFill="1" applyAlignment="1">
      <alignment vertical="center"/>
    </xf>
    <xf numFmtId="170" fontId="34" fillId="12" borderId="5" xfId="2" applyNumberFormat="1" applyFont="1" applyFill="1" applyBorder="1" applyAlignment="1">
      <alignment vertical="center"/>
    </xf>
    <xf numFmtId="0" fontId="19" fillId="3" borderId="1" xfId="2" applyNumberFormat="1" applyFont="1" applyFill="1" applyBorder="1" applyAlignment="1">
      <alignment horizontal="center" vertical="center"/>
    </xf>
    <xf numFmtId="170" fontId="35" fillId="9" borderId="0" xfId="0" applyNumberFormat="1" applyFont="1" applyFill="1" applyAlignment="1">
      <alignment vertical="center"/>
    </xf>
    <xf numFmtId="170" fontId="19" fillId="9" borderId="0" xfId="0" applyNumberFormat="1" applyFont="1" applyFill="1" applyAlignment="1">
      <alignment vertical="center"/>
    </xf>
    <xf numFmtId="0" fontId="19" fillId="9" borderId="0" xfId="0" applyFont="1" applyFill="1" applyAlignment="1">
      <alignment vertical="center"/>
    </xf>
    <xf numFmtId="0" fontId="19" fillId="9" borderId="14" xfId="0" applyFont="1" applyFill="1" applyBorder="1" applyAlignment="1">
      <alignment vertical="center"/>
    </xf>
    <xf numFmtId="170" fontId="35" fillId="9" borderId="14" xfId="0" applyNumberFormat="1" applyFont="1" applyFill="1" applyBorder="1" applyAlignment="1">
      <alignment vertical="center"/>
    </xf>
    <xf numFmtId="170" fontId="19" fillId="9" borderId="14" xfId="0" applyNumberFormat="1" applyFont="1" applyFill="1" applyBorder="1" applyAlignment="1">
      <alignment vertical="center"/>
    </xf>
    <xf numFmtId="170" fontId="30" fillId="9" borderId="14" xfId="1" applyNumberFormat="1" applyFont="1" applyFill="1" applyBorder="1" applyAlignment="1" applyProtection="1">
      <alignment horizontal="right" vertical="center"/>
    </xf>
    <xf numFmtId="3" fontId="35" fillId="9" borderId="0" xfId="0" applyNumberFormat="1" applyFont="1" applyFill="1" applyAlignment="1">
      <alignment vertical="center"/>
    </xf>
    <xf numFmtId="1" fontId="19" fillId="3" borderId="1" xfId="2" applyNumberFormat="1" applyFont="1" applyFill="1" applyBorder="1" applyAlignment="1">
      <alignment horizontal="center" vertical="center"/>
    </xf>
    <xf numFmtId="170" fontId="19" fillId="3" borderId="38" xfId="2" applyNumberFormat="1" applyFont="1" applyFill="1" applyBorder="1" applyAlignment="1">
      <alignment vertical="center"/>
    </xf>
    <xf numFmtId="0" fontId="34" fillId="0" borderId="1" xfId="2" applyNumberFormat="1" applyFont="1" applyFill="1" applyBorder="1" applyAlignment="1">
      <alignment horizontal="left" vertical="center"/>
    </xf>
    <xf numFmtId="0" fontId="19" fillId="9" borderId="18" xfId="0" applyFont="1" applyFill="1" applyBorder="1" applyAlignment="1">
      <alignment vertical="center"/>
    </xf>
    <xf numFmtId="9" fontId="30" fillId="0" borderId="13" xfId="0" applyNumberFormat="1" applyFont="1" applyBorder="1" applyAlignment="1" applyProtection="1">
      <alignment vertical="center"/>
      <protection locked="0"/>
    </xf>
    <xf numFmtId="170" fontId="19" fillId="0" borderId="0" xfId="0" applyNumberFormat="1" applyFont="1" applyAlignment="1">
      <alignment horizontal="center" vertical="center"/>
    </xf>
    <xf numFmtId="170" fontId="19" fillId="3" borderId="39" xfId="2" applyNumberFormat="1" applyFont="1" applyFill="1" applyBorder="1" applyAlignment="1">
      <alignment vertical="center"/>
    </xf>
    <xf numFmtId="0" fontId="34" fillId="7" borderId="3" xfId="0" applyFont="1" applyFill="1" applyBorder="1" applyAlignment="1">
      <alignment vertical="center"/>
    </xf>
    <xf numFmtId="0" fontId="34" fillId="7" borderId="4" xfId="0" applyFont="1" applyFill="1" applyBorder="1" applyAlignment="1">
      <alignment vertical="center"/>
    </xf>
    <xf numFmtId="0" fontId="34" fillId="0" borderId="4" xfId="0" applyFont="1" applyBorder="1" applyAlignment="1">
      <alignment vertical="center"/>
    </xf>
    <xf numFmtId="0" fontId="41" fillId="0" borderId="0" xfId="0" applyFont="1" applyAlignment="1">
      <alignment vertical="center"/>
    </xf>
    <xf numFmtId="170" fontId="34" fillId="12" borderId="31" xfId="2" applyNumberFormat="1" applyFont="1" applyFill="1" applyBorder="1" applyAlignment="1">
      <alignment vertical="center"/>
    </xf>
    <xf numFmtId="169" fontId="41" fillId="11" borderId="4" xfId="0" applyNumberFormat="1" applyFont="1" applyFill="1" applyBorder="1" applyAlignment="1">
      <alignment vertical="center"/>
    </xf>
    <xf numFmtId="0" fontId="19" fillId="0" borderId="0" xfId="0" applyFont="1" applyAlignment="1">
      <alignment vertical="center"/>
    </xf>
    <xf numFmtId="1" fontId="19" fillId="3" borderId="1" xfId="2" applyNumberFormat="1" applyFont="1" applyFill="1" applyBorder="1" applyAlignment="1" applyProtection="1">
      <alignment horizontal="center" vertical="center"/>
    </xf>
    <xf numFmtId="174" fontId="35" fillId="0" borderId="0" xfId="0" applyNumberFormat="1" applyFont="1" applyAlignment="1">
      <alignment vertical="center"/>
    </xf>
    <xf numFmtId="170" fontId="19" fillId="9" borderId="12" xfId="0" applyNumberFormat="1" applyFont="1" applyFill="1" applyBorder="1" applyAlignment="1">
      <alignment vertical="center"/>
    </xf>
    <xf numFmtId="0" fontId="35" fillId="9" borderId="14" xfId="0" applyFont="1" applyFill="1" applyBorder="1" applyAlignment="1">
      <alignment vertical="center"/>
    </xf>
    <xf numFmtId="0" fontId="43" fillId="0" borderId="0" xfId="0" applyFont="1" applyAlignment="1">
      <alignment vertical="center"/>
    </xf>
    <xf numFmtId="0" fontId="35" fillId="9" borderId="0" xfId="0" applyFont="1" applyFill="1" applyAlignment="1">
      <alignment horizontal="center" vertical="center"/>
    </xf>
    <xf numFmtId="0" fontId="19" fillId="7" borderId="3" xfId="0" applyFont="1" applyFill="1" applyBorder="1" applyAlignment="1">
      <alignment horizontal="left" vertical="center"/>
    </xf>
    <xf numFmtId="0" fontId="19" fillId="7" borderId="3" xfId="0" applyFont="1" applyFill="1" applyBorder="1" applyAlignment="1">
      <alignment vertical="center"/>
    </xf>
    <xf numFmtId="179" fontId="19" fillId="3" borderId="1" xfId="2" applyNumberFormat="1" applyFont="1" applyFill="1" applyBorder="1" applyAlignment="1">
      <alignment horizontal="center" vertical="center"/>
    </xf>
    <xf numFmtId="174" fontId="19" fillId="9" borderId="0" xfId="0" applyNumberFormat="1" applyFont="1" applyFill="1" applyAlignment="1">
      <alignment vertical="center"/>
    </xf>
    <xf numFmtId="170" fontId="35" fillId="0" borderId="0" xfId="0" applyNumberFormat="1" applyFont="1" applyAlignment="1">
      <alignment vertical="center"/>
    </xf>
    <xf numFmtId="174" fontId="35" fillId="9" borderId="13" xfId="0" applyNumberFormat="1" applyFont="1" applyFill="1" applyBorder="1" applyAlignment="1">
      <alignment vertical="center"/>
    </xf>
    <xf numFmtId="173" fontId="35" fillId="9" borderId="0" xfId="0" applyNumberFormat="1" applyFont="1" applyFill="1" applyAlignment="1">
      <alignment vertical="center"/>
    </xf>
    <xf numFmtId="174" fontId="43" fillId="9" borderId="0" xfId="0" applyNumberFormat="1" applyFont="1" applyFill="1" applyAlignment="1">
      <alignment vertical="center"/>
    </xf>
    <xf numFmtId="174" fontId="41" fillId="9" borderId="0" xfId="1" applyNumberFormat="1" applyFont="1" applyFill="1" applyBorder="1" applyAlignment="1" applyProtection="1">
      <alignment horizontal="right" vertical="center"/>
    </xf>
    <xf numFmtId="170" fontId="43" fillId="9" borderId="0" xfId="0" applyNumberFormat="1" applyFont="1" applyFill="1" applyAlignment="1">
      <alignment vertical="center"/>
    </xf>
    <xf numFmtId="170" fontId="41" fillId="9" borderId="0" xfId="1" applyNumberFormat="1" applyFont="1" applyFill="1" applyBorder="1" applyAlignment="1" applyProtection="1">
      <alignment horizontal="right" vertical="center"/>
    </xf>
    <xf numFmtId="0" fontId="44" fillId="9" borderId="0" xfId="0" applyFont="1" applyFill="1" applyAlignment="1">
      <alignment vertical="center"/>
    </xf>
    <xf numFmtId="184" fontId="45" fillId="4" borderId="15" xfId="0" applyNumberFormat="1" applyFont="1" applyFill="1" applyBorder="1" applyAlignment="1">
      <alignment vertical="center"/>
    </xf>
    <xf numFmtId="184" fontId="45" fillId="4" borderId="35" xfId="0" applyNumberFormat="1" applyFont="1" applyFill="1" applyBorder="1" applyAlignment="1">
      <alignment vertical="center"/>
    </xf>
    <xf numFmtId="184" fontId="45" fillId="4" borderId="10" xfId="0" applyNumberFormat="1" applyFont="1" applyFill="1" applyBorder="1" applyAlignment="1">
      <alignment vertical="center"/>
    </xf>
    <xf numFmtId="184" fontId="45" fillId="0" borderId="0" xfId="0" applyNumberFormat="1" applyFont="1" applyAlignment="1">
      <alignment vertical="center"/>
    </xf>
    <xf numFmtId="175" fontId="41" fillId="9" borderId="0" xfId="1" applyNumberFormat="1" applyFont="1" applyFill="1" applyBorder="1" applyAlignment="1" applyProtection="1">
      <alignment horizontal="right" vertical="center"/>
    </xf>
    <xf numFmtId="0" fontId="37" fillId="4" borderId="36" xfId="0" applyFont="1" applyFill="1" applyBorder="1" applyAlignment="1">
      <alignment vertical="center"/>
    </xf>
    <xf numFmtId="0" fontId="40" fillId="4" borderId="10" xfId="0" applyFont="1" applyFill="1" applyBorder="1" applyAlignment="1">
      <alignment vertical="center"/>
    </xf>
    <xf numFmtId="0" fontId="19" fillId="7" borderId="4" xfId="0" applyFont="1" applyFill="1" applyBorder="1" applyAlignment="1">
      <alignment vertical="center"/>
    </xf>
    <xf numFmtId="184" fontId="45" fillId="0" borderId="1" xfId="0" applyNumberFormat="1" applyFont="1" applyBorder="1" applyAlignment="1">
      <alignment vertical="center"/>
    </xf>
    <xf numFmtId="184" fontId="45" fillId="4" borderId="1" xfId="0" applyNumberFormat="1" applyFont="1" applyFill="1" applyBorder="1" applyAlignment="1">
      <alignment vertical="center"/>
    </xf>
    <xf numFmtId="184" fontId="45" fillId="4" borderId="3" xfId="0" applyNumberFormat="1" applyFont="1" applyFill="1" applyBorder="1" applyAlignment="1">
      <alignment vertical="center"/>
    </xf>
    <xf numFmtId="184" fontId="45" fillId="4" borderId="4" xfId="0" applyNumberFormat="1" applyFont="1" applyFill="1" applyBorder="1" applyAlignment="1">
      <alignment vertical="center"/>
    </xf>
    <xf numFmtId="184" fontId="45" fillId="4" borderId="5" xfId="0" applyNumberFormat="1" applyFont="1" applyFill="1" applyBorder="1" applyAlignment="1">
      <alignment vertical="center"/>
    </xf>
    <xf numFmtId="0" fontId="37" fillId="4" borderId="34" xfId="0" applyFont="1" applyFill="1" applyBorder="1" applyAlignment="1">
      <alignment vertical="center"/>
    </xf>
    <xf numFmtId="0" fontId="19" fillId="7" borderId="3" xfId="0" applyFont="1" applyFill="1" applyBorder="1" applyAlignment="1">
      <alignment vertical="center" wrapText="1"/>
    </xf>
    <xf numFmtId="3" fontId="35" fillId="0" borderId="0" xfId="0" applyNumberFormat="1" applyFont="1" applyAlignment="1">
      <alignment vertical="center"/>
    </xf>
    <xf numFmtId="174" fontId="19" fillId="3" borderId="1" xfId="2" applyNumberFormat="1" applyFont="1" applyFill="1" applyBorder="1" applyAlignment="1">
      <alignment horizontal="center" vertical="center"/>
    </xf>
    <xf numFmtId="0" fontId="19" fillId="9" borderId="0" xfId="0" applyFont="1" applyFill="1" applyAlignment="1">
      <alignment horizontal="center" vertical="center"/>
    </xf>
    <xf numFmtId="173" fontId="19" fillId="9" borderId="0" xfId="0" applyNumberFormat="1" applyFont="1" applyFill="1" applyAlignment="1">
      <alignment vertical="center"/>
    </xf>
    <xf numFmtId="0" fontId="43" fillId="9" borderId="11" xfId="0" applyFont="1" applyFill="1" applyBorder="1" applyAlignment="1">
      <alignment vertical="center"/>
    </xf>
    <xf numFmtId="0" fontId="35" fillId="9" borderId="11" xfId="0" applyFont="1" applyFill="1" applyBorder="1" applyAlignment="1">
      <alignment vertical="center"/>
    </xf>
    <xf numFmtId="175" fontId="19" fillId="9" borderId="11" xfId="0" applyNumberFormat="1" applyFont="1" applyFill="1" applyBorder="1" applyAlignment="1">
      <alignment vertical="center"/>
    </xf>
    <xf numFmtId="176" fontId="19" fillId="9" borderId="11" xfId="0" applyNumberFormat="1" applyFont="1" applyFill="1" applyBorder="1" applyAlignment="1">
      <alignment vertical="center"/>
    </xf>
    <xf numFmtId="3" fontId="19" fillId="9" borderId="11" xfId="0" applyNumberFormat="1" applyFont="1" applyFill="1" applyBorder="1" applyAlignment="1">
      <alignment vertical="center"/>
    </xf>
    <xf numFmtId="0" fontId="41" fillId="11" borderId="30" xfId="0" applyFont="1" applyFill="1" applyBorder="1" applyAlignment="1">
      <alignment vertical="center"/>
    </xf>
    <xf numFmtId="174" fontId="19" fillId="3" borderId="8" xfId="2" applyNumberFormat="1" applyFont="1" applyFill="1" applyBorder="1" applyAlignment="1">
      <alignment horizontal="center" vertical="center"/>
    </xf>
    <xf numFmtId="175" fontId="19" fillId="9" borderId="0" xfId="0" applyNumberFormat="1" applyFont="1" applyFill="1" applyAlignment="1">
      <alignment vertical="center"/>
    </xf>
    <xf numFmtId="175" fontId="30" fillId="9" borderId="0" xfId="1" applyNumberFormat="1" applyFont="1" applyFill="1" applyBorder="1" applyAlignment="1" applyProtection="1">
      <alignment horizontal="right" vertical="center"/>
    </xf>
    <xf numFmtId="0" fontId="46" fillId="0" borderId="0" xfId="0" applyFont="1" applyAlignment="1">
      <alignment vertical="center"/>
    </xf>
    <xf numFmtId="0" fontId="19" fillId="7" borderId="22" xfId="0" applyFont="1" applyFill="1" applyBorder="1" applyAlignment="1">
      <alignment horizontal="left" vertical="center"/>
    </xf>
    <xf numFmtId="169" fontId="41" fillId="0" borderId="4" xfId="0" applyNumberFormat="1" applyFont="1" applyBorder="1" applyAlignment="1">
      <alignment vertical="center"/>
    </xf>
    <xf numFmtId="0" fontId="19" fillId="3" borderId="5" xfId="2" applyNumberFormat="1" applyFont="1" applyFill="1" applyBorder="1" applyAlignment="1">
      <alignment vertical="center"/>
    </xf>
    <xf numFmtId="179" fontId="19" fillId="3" borderId="1" xfId="2" applyNumberFormat="1" applyFont="1" applyFill="1" applyBorder="1" applyAlignment="1">
      <alignment vertical="center"/>
    </xf>
    <xf numFmtId="0" fontId="19" fillId="3" borderId="1" xfId="2" applyNumberFormat="1" applyFont="1" applyFill="1" applyBorder="1" applyAlignment="1">
      <alignment vertical="center"/>
    </xf>
    <xf numFmtId="177" fontId="41" fillId="9" borderId="0" xfId="1" applyNumberFormat="1" applyFont="1" applyFill="1" applyBorder="1" applyAlignment="1" applyProtection="1">
      <alignment horizontal="right" vertical="center"/>
    </xf>
    <xf numFmtId="0" fontId="19" fillId="7" borderId="5" xfId="0" applyFont="1" applyFill="1" applyBorder="1" applyAlignment="1">
      <alignment horizontal="right" vertical="center"/>
    </xf>
    <xf numFmtId="0" fontId="19" fillId="7" borderId="5" xfId="0" applyFont="1" applyFill="1" applyBorder="1" applyAlignment="1">
      <alignment horizontal="left" vertical="center"/>
    </xf>
    <xf numFmtId="0" fontId="45" fillId="4" borderId="15" xfId="0" applyFont="1" applyFill="1" applyBorder="1" applyAlignment="1">
      <alignment vertical="center"/>
    </xf>
    <xf numFmtId="0" fontId="45" fillId="4" borderId="35" xfId="0" applyFont="1" applyFill="1" applyBorder="1" applyAlignment="1">
      <alignment vertical="center"/>
    </xf>
    <xf numFmtId="0" fontId="45" fillId="4" borderId="10" xfId="0" applyFont="1" applyFill="1" applyBorder="1" applyAlignment="1">
      <alignment vertical="center"/>
    </xf>
    <xf numFmtId="0" fontId="45" fillId="0" borderId="0" xfId="0" applyFont="1" applyAlignment="1">
      <alignment vertical="center"/>
    </xf>
    <xf numFmtId="174" fontId="45" fillId="4" borderId="10" xfId="0" applyNumberFormat="1" applyFont="1" applyFill="1" applyBorder="1" applyAlignment="1">
      <alignment vertical="center"/>
    </xf>
    <xf numFmtId="174" fontId="45" fillId="4" borderId="15" xfId="0" applyNumberFormat="1" applyFont="1" applyFill="1" applyBorder="1" applyAlignment="1">
      <alignment vertical="center"/>
    </xf>
    <xf numFmtId="178" fontId="43" fillId="9" borderId="0" xfId="0" applyNumberFormat="1" applyFont="1" applyFill="1" applyAlignment="1">
      <alignment vertical="center"/>
    </xf>
    <xf numFmtId="178" fontId="41" fillId="9" borderId="0" xfId="1" applyNumberFormat="1" applyFont="1" applyFill="1" applyBorder="1" applyAlignment="1" applyProtection="1">
      <alignment horizontal="right" vertical="center"/>
    </xf>
    <xf numFmtId="0" fontId="47" fillId="5" borderId="1" xfId="0" applyFont="1" applyFill="1" applyBorder="1" applyAlignment="1">
      <alignment vertical="center"/>
    </xf>
    <xf numFmtId="0" fontId="48" fillId="5" borderId="4" xfId="0" applyFont="1" applyFill="1" applyBorder="1" applyAlignment="1">
      <alignment vertical="center" wrapText="1"/>
    </xf>
    <xf numFmtId="0" fontId="40" fillId="0" borderId="0" xfId="0" applyFont="1" applyAlignment="1">
      <alignment vertical="center"/>
    </xf>
    <xf numFmtId="170" fontId="48" fillId="5" borderId="5" xfId="0" applyNumberFormat="1" applyFont="1" applyFill="1" applyBorder="1" applyAlignment="1">
      <alignment vertical="center"/>
    </xf>
    <xf numFmtId="170" fontId="48" fillId="5" borderId="1" xfId="0" applyNumberFormat="1" applyFont="1" applyFill="1" applyBorder="1" applyAlignment="1">
      <alignment vertical="center"/>
    </xf>
    <xf numFmtId="0" fontId="47" fillId="9" borderId="0" xfId="0" applyFont="1" applyFill="1" applyAlignment="1">
      <alignment vertical="center"/>
    </xf>
    <xf numFmtId="0" fontId="35" fillId="9" borderId="1" xfId="0" applyFont="1" applyFill="1" applyBorder="1" applyAlignment="1">
      <alignment vertical="center"/>
    </xf>
    <xf numFmtId="0" fontId="43" fillId="9" borderId="1" xfId="0" applyFont="1" applyFill="1" applyBorder="1" applyAlignment="1">
      <alignment vertical="center"/>
    </xf>
    <xf numFmtId="0" fontId="43" fillId="0" borderId="1" xfId="0" applyFont="1" applyBorder="1" applyAlignment="1">
      <alignment vertical="center"/>
    </xf>
    <xf numFmtId="170" fontId="43" fillId="9" borderId="1" xfId="0" applyNumberFormat="1" applyFont="1" applyFill="1" applyBorder="1" applyAlignment="1">
      <alignment vertical="center"/>
    </xf>
    <xf numFmtId="175" fontId="41" fillId="9" borderId="1" xfId="1" applyNumberFormat="1" applyFont="1" applyFill="1" applyBorder="1" applyAlignment="1" applyProtection="1">
      <alignment horizontal="right" vertical="center"/>
    </xf>
    <xf numFmtId="0" fontId="19" fillId="5" borderId="50" xfId="0" applyFont="1" applyFill="1" applyBorder="1" applyAlignment="1">
      <alignment vertical="center"/>
    </xf>
    <xf numFmtId="0" fontId="37" fillId="5" borderId="27" xfId="0" applyFont="1" applyFill="1" applyBorder="1" applyAlignment="1">
      <alignment vertical="center" wrapText="1"/>
    </xf>
    <xf numFmtId="0" fontId="37" fillId="5" borderId="0" xfId="0" applyFont="1" applyFill="1" applyAlignment="1">
      <alignment vertical="center" wrapText="1"/>
    </xf>
    <xf numFmtId="0" fontId="35" fillId="0" borderId="1" xfId="0" applyFont="1" applyBorder="1" applyAlignment="1">
      <alignment vertical="center"/>
    </xf>
    <xf numFmtId="169" fontId="35" fillId="9" borderId="1" xfId="0" applyNumberFormat="1" applyFont="1" applyFill="1" applyBorder="1" applyAlignment="1">
      <alignment vertical="center"/>
    </xf>
    <xf numFmtId="0" fontId="37" fillId="4" borderId="47" xfId="0" applyFont="1" applyFill="1" applyBorder="1" applyAlignment="1">
      <alignment vertical="center"/>
    </xf>
    <xf numFmtId="0" fontId="40" fillId="4" borderId="48" xfId="0" applyFont="1" applyFill="1" applyBorder="1" applyAlignment="1">
      <alignment vertical="center"/>
    </xf>
    <xf numFmtId="0" fontId="35" fillId="4" borderId="49" xfId="0" applyFont="1" applyFill="1" applyBorder="1" applyAlignment="1">
      <alignment vertical="center"/>
    </xf>
    <xf numFmtId="0" fontId="39" fillId="4" borderId="49" xfId="0" applyFont="1" applyFill="1" applyBorder="1" applyAlignment="1">
      <alignment vertical="center"/>
    </xf>
    <xf numFmtId="169" fontId="38" fillId="10" borderId="49" xfId="0" applyNumberFormat="1" applyFont="1" applyFill="1" applyBorder="1" applyAlignment="1">
      <alignment vertical="center"/>
    </xf>
    <xf numFmtId="170" fontId="43" fillId="0" borderId="0" xfId="0" applyNumberFormat="1" applyFont="1" applyAlignment="1">
      <alignment vertical="center"/>
    </xf>
    <xf numFmtId="169" fontId="30" fillId="9" borderId="0" xfId="1" applyNumberFormat="1" applyFont="1" applyFill="1" applyBorder="1" applyAlignment="1" applyProtection="1">
      <alignment vertical="center"/>
    </xf>
    <xf numFmtId="0" fontId="30" fillId="0" borderId="0" xfId="4" applyFont="1" applyAlignment="1">
      <alignment vertical="center"/>
    </xf>
    <xf numFmtId="171" fontId="30" fillId="9" borderId="0" xfId="1" applyNumberFormat="1" applyFont="1" applyFill="1" applyBorder="1" applyAlignment="1" applyProtection="1">
      <alignment vertical="center"/>
    </xf>
    <xf numFmtId="10" fontId="30" fillId="3" borderId="0" xfId="4" applyNumberFormat="1" applyFont="1" applyFill="1" applyAlignment="1">
      <alignment horizontal="center" vertical="center"/>
    </xf>
    <xf numFmtId="169" fontId="49" fillId="9" borderId="0" xfId="1" applyNumberFormat="1" applyFont="1" applyFill="1" applyBorder="1" applyAlignment="1" applyProtection="1">
      <alignment vertical="center"/>
    </xf>
    <xf numFmtId="3" fontId="19" fillId="3" borderId="9" xfId="0" applyNumberFormat="1" applyFont="1" applyFill="1" applyBorder="1" applyAlignment="1">
      <alignment horizontal="center" vertical="center"/>
    </xf>
    <xf numFmtId="170" fontId="34" fillId="12" borderId="1" xfId="2" applyNumberFormat="1" applyFont="1" applyFill="1" applyBorder="1" applyAlignment="1">
      <alignment vertical="center"/>
    </xf>
    <xf numFmtId="0" fontId="50" fillId="9" borderId="0" xfId="0" applyFont="1" applyFill="1" applyAlignment="1">
      <alignment vertical="center"/>
    </xf>
    <xf numFmtId="169" fontId="51" fillId="9" borderId="0" xfId="0" applyNumberFormat="1" applyFont="1" applyFill="1" applyAlignment="1">
      <alignment vertical="center"/>
    </xf>
    <xf numFmtId="171" fontId="30" fillId="0" borderId="0" xfId="0" applyNumberFormat="1" applyFont="1" applyAlignment="1">
      <alignment vertical="center"/>
    </xf>
    <xf numFmtId="0" fontId="19" fillId="7" borderId="3" xfId="0" applyFont="1" applyFill="1" applyBorder="1" applyAlignment="1">
      <alignment horizontal="right" vertical="center"/>
    </xf>
    <xf numFmtId="170" fontId="34" fillId="0" borderId="1" xfId="2" applyNumberFormat="1" applyFont="1" applyFill="1" applyBorder="1" applyAlignment="1">
      <alignment vertical="center"/>
    </xf>
    <xf numFmtId="171" fontId="30" fillId="9" borderId="0" xfId="0" applyNumberFormat="1" applyFont="1" applyFill="1" applyAlignment="1">
      <alignment vertical="center"/>
    </xf>
    <xf numFmtId="0" fontId="43" fillId="9" borderId="0" xfId="0" applyFont="1" applyFill="1" applyAlignment="1">
      <alignment horizontal="right" vertical="center"/>
    </xf>
    <xf numFmtId="174" fontId="30" fillId="9" borderId="0" xfId="2" applyNumberFormat="1" applyFont="1" applyFill="1" applyBorder="1" applyAlignment="1" applyProtection="1">
      <alignment vertical="center"/>
    </xf>
    <xf numFmtId="9" fontId="30" fillId="3" borderId="0" xfId="4" applyNumberFormat="1" applyFont="1" applyFill="1" applyAlignment="1">
      <alignment horizontal="center" vertical="center"/>
    </xf>
    <xf numFmtId="0" fontId="19" fillId="7" borderId="0" xfId="0" applyFont="1" applyFill="1" applyAlignment="1">
      <alignment vertical="center"/>
    </xf>
    <xf numFmtId="0" fontId="34" fillId="7" borderId="3" xfId="0" applyFont="1" applyFill="1" applyBorder="1" applyAlignment="1">
      <alignment horizontal="right" vertical="center"/>
    </xf>
    <xf numFmtId="2" fontId="34" fillId="3" borderId="1" xfId="2" applyNumberFormat="1" applyFont="1" applyFill="1" applyBorder="1" applyAlignment="1">
      <alignment horizontal="center" vertical="center"/>
    </xf>
    <xf numFmtId="171" fontId="52" fillId="9" borderId="0" xfId="0" applyNumberFormat="1" applyFont="1" applyFill="1" applyAlignment="1">
      <alignment vertical="center"/>
    </xf>
    <xf numFmtId="0" fontId="30" fillId="0" borderId="0" xfId="4" applyFont="1" applyAlignment="1">
      <alignment horizontal="left" vertical="center"/>
    </xf>
    <xf numFmtId="169" fontId="30" fillId="9" borderId="0" xfId="1" applyNumberFormat="1" applyFont="1" applyFill="1" applyBorder="1" applyAlignment="1" applyProtection="1">
      <alignment horizontal="left" vertical="center"/>
    </xf>
    <xf numFmtId="170" fontId="30" fillId="9" borderId="0" xfId="0" applyNumberFormat="1" applyFont="1" applyFill="1" applyAlignment="1">
      <alignment vertical="center"/>
    </xf>
    <xf numFmtId="0" fontId="41" fillId="0" borderId="5" xfId="0" applyFont="1" applyBorder="1" applyAlignment="1">
      <alignment vertical="center"/>
    </xf>
    <xf numFmtId="0" fontId="30" fillId="9" borderId="0" xfId="4" applyFont="1" applyFill="1" applyAlignment="1">
      <alignment horizontal="left" vertical="center"/>
    </xf>
    <xf numFmtId="170" fontId="30" fillId="0" borderId="0" xfId="0" applyNumberFormat="1" applyFont="1" applyAlignment="1">
      <alignment vertical="center"/>
    </xf>
    <xf numFmtId="9" fontId="34" fillId="3" borderId="1" xfId="2" applyFont="1" applyFill="1" applyBorder="1" applyAlignment="1">
      <alignment horizontal="center" vertical="center"/>
    </xf>
    <xf numFmtId="0" fontId="19" fillId="7" borderId="21" xfId="0" applyFont="1" applyFill="1" applyBorder="1" applyAlignment="1">
      <alignment horizontal="left" vertical="center"/>
    </xf>
    <xf numFmtId="0" fontId="34" fillId="7" borderId="24" xfId="0" applyFont="1" applyFill="1" applyBorder="1" applyAlignment="1">
      <alignment vertical="center"/>
    </xf>
    <xf numFmtId="0" fontId="34" fillId="7" borderId="25" xfId="0" applyFont="1" applyFill="1" applyBorder="1" applyAlignment="1">
      <alignment vertical="center"/>
    </xf>
    <xf numFmtId="0" fontId="43" fillId="9" borderId="12" xfId="0" applyFont="1" applyFill="1" applyBorder="1" applyAlignment="1">
      <alignment vertical="center"/>
    </xf>
    <xf numFmtId="0" fontId="35" fillId="9" borderId="12" xfId="0" applyFont="1" applyFill="1" applyBorder="1" applyAlignment="1">
      <alignment vertical="center"/>
    </xf>
    <xf numFmtId="175" fontId="19" fillId="9" borderId="12" xfId="0" applyNumberFormat="1" applyFont="1" applyFill="1" applyBorder="1" applyAlignment="1">
      <alignment vertical="center"/>
    </xf>
    <xf numFmtId="0" fontId="48" fillId="5" borderId="3" xfId="0" applyFont="1" applyFill="1" applyBorder="1" applyAlignment="1">
      <alignment vertical="center" wrapText="1"/>
    </xf>
    <xf numFmtId="174" fontId="48" fillId="5" borderId="4" xfId="0" applyNumberFormat="1" applyFont="1" applyFill="1" applyBorder="1" applyAlignment="1">
      <alignment vertical="center" wrapText="1"/>
    </xf>
    <xf numFmtId="0" fontId="30" fillId="0" borderId="0" xfId="0" applyFont="1" applyAlignment="1">
      <alignment vertical="center"/>
    </xf>
    <xf numFmtId="175" fontId="30" fillId="0" borderId="0" xfId="0" applyNumberFormat="1" applyFont="1" applyAlignment="1">
      <alignment vertical="center"/>
    </xf>
    <xf numFmtId="175" fontId="36" fillId="0" borderId="0" xfId="0" applyNumberFormat="1" applyFont="1" applyAlignment="1">
      <alignment vertical="center"/>
    </xf>
    <xf numFmtId="0" fontId="34" fillId="7" borderId="3" xfId="0" applyFont="1" applyFill="1" applyBorder="1" applyAlignment="1">
      <alignment horizontal="left" vertical="center"/>
    </xf>
    <xf numFmtId="170" fontId="19" fillId="3" borderId="9" xfId="0" applyNumberFormat="1" applyFont="1" applyFill="1" applyBorder="1" applyAlignment="1">
      <alignment horizontal="center" vertical="center"/>
    </xf>
    <xf numFmtId="0" fontId="37" fillId="5" borderId="3" xfId="0" applyFont="1" applyFill="1" applyBorder="1" applyAlignment="1">
      <alignment vertical="center"/>
    </xf>
    <xf numFmtId="0" fontId="37" fillId="5" borderId="4" xfId="0" applyFont="1" applyFill="1" applyBorder="1" applyAlignment="1">
      <alignment vertical="center"/>
    </xf>
    <xf numFmtId="0" fontId="37" fillId="4" borderId="34" xfId="0" applyFont="1" applyFill="1" applyBorder="1" applyAlignment="1">
      <alignment horizontal="center" vertical="center"/>
    </xf>
    <xf numFmtId="0" fontId="35" fillId="4" borderId="10" xfId="0" applyFont="1" applyFill="1" applyBorder="1" applyAlignment="1">
      <alignment horizontal="center" vertical="center"/>
    </xf>
    <xf numFmtId="0" fontId="35" fillId="0" borderId="10" xfId="0" applyFont="1" applyBorder="1" applyAlignment="1">
      <alignment horizontal="center" vertical="center"/>
    </xf>
    <xf numFmtId="0" fontId="45" fillId="4" borderId="10" xfId="0" applyFont="1" applyFill="1" applyBorder="1" applyAlignment="1">
      <alignment vertical="center" wrapText="1"/>
    </xf>
    <xf numFmtId="0" fontId="10" fillId="11" borderId="3" xfId="0" applyFont="1" applyFill="1" applyBorder="1" applyAlignment="1">
      <alignment horizontal="center" vertical="center" wrapText="1"/>
    </xf>
    <xf numFmtId="0" fontId="53" fillId="9" borderId="0" xfId="0" applyFont="1" applyFill="1" applyAlignment="1">
      <alignment horizontal="right" vertical="center"/>
    </xf>
    <xf numFmtId="180" fontId="35" fillId="9" borderId="0" xfId="0" applyNumberFormat="1" applyFont="1" applyFill="1" applyAlignment="1">
      <alignment vertical="center"/>
    </xf>
    <xf numFmtId="174" fontId="54" fillId="9" borderId="0" xfId="0" applyNumberFormat="1" applyFont="1" applyFill="1" applyAlignment="1">
      <alignment vertical="center"/>
    </xf>
    <xf numFmtId="0" fontId="19" fillId="0" borderId="0" xfId="0" applyFont="1" applyAlignment="1">
      <alignment horizontal="left" vertical="center"/>
    </xf>
    <xf numFmtId="174" fontId="19" fillId="0" borderId="0" xfId="2" applyNumberFormat="1" applyFont="1" applyFill="1" applyBorder="1" applyAlignment="1">
      <alignment horizontal="center" vertical="center"/>
    </xf>
    <xf numFmtId="174" fontId="54" fillId="0" borderId="0" xfId="0" applyNumberFormat="1" applyFont="1" applyAlignment="1">
      <alignment vertical="center"/>
    </xf>
    <xf numFmtId="0" fontId="19" fillId="0" borderId="0" xfId="2" applyNumberFormat="1" applyFont="1" applyFill="1" applyBorder="1" applyAlignment="1">
      <alignment horizontal="center" vertical="center"/>
    </xf>
    <xf numFmtId="170" fontId="19" fillId="0" borderId="0" xfId="2" applyNumberFormat="1" applyFont="1" applyFill="1" applyBorder="1" applyAlignment="1">
      <alignment vertical="center"/>
    </xf>
    <xf numFmtId="174" fontId="19" fillId="0" borderId="1" xfId="2" applyNumberFormat="1" applyFont="1" applyFill="1" applyBorder="1" applyAlignment="1">
      <alignment horizontal="center" vertical="center"/>
    </xf>
    <xf numFmtId="0" fontId="54" fillId="9" borderId="0" xfId="0" applyFont="1" applyFill="1" applyAlignment="1">
      <alignment vertical="center"/>
    </xf>
    <xf numFmtId="0" fontId="54" fillId="0" borderId="0" xfId="0" applyFont="1" applyAlignment="1">
      <alignment vertical="center"/>
    </xf>
    <xf numFmtId="174" fontId="19" fillId="0" borderId="0" xfId="0" applyNumberFormat="1" applyFont="1" applyAlignment="1">
      <alignment vertical="center"/>
    </xf>
    <xf numFmtId="174" fontId="19" fillId="0" borderId="8" xfId="2" applyNumberFormat="1" applyFont="1" applyFill="1" applyBorder="1" applyAlignment="1">
      <alignment horizontal="center" vertical="center"/>
    </xf>
    <xf numFmtId="174" fontId="54" fillId="0" borderId="0" xfId="0" applyNumberFormat="1" applyFont="1" applyAlignment="1" applyProtection="1">
      <alignment horizontal="center" vertical="center"/>
      <protection locked="0"/>
    </xf>
    <xf numFmtId="3" fontId="54" fillId="0" borderId="0" xfId="0" applyNumberFormat="1" applyFont="1" applyAlignment="1">
      <alignment vertical="center"/>
    </xf>
    <xf numFmtId="0" fontId="41" fillId="11" borderId="19" xfId="0" applyFont="1" applyFill="1" applyBorder="1" applyAlignment="1">
      <alignment vertical="center"/>
    </xf>
    <xf numFmtId="170" fontId="19" fillId="0" borderId="0" xfId="0" applyNumberFormat="1" applyFont="1" applyAlignment="1">
      <alignment vertical="center"/>
    </xf>
    <xf numFmtId="184" fontId="41" fillId="11" borderId="19" xfId="0" applyNumberFormat="1" applyFont="1" applyFill="1" applyBorder="1" applyAlignment="1">
      <alignment vertical="center"/>
    </xf>
    <xf numFmtId="174" fontId="35" fillId="9" borderId="0" xfId="0" applyNumberFormat="1" applyFont="1" applyFill="1" applyAlignment="1">
      <alignment vertical="center"/>
    </xf>
    <xf numFmtId="175" fontId="35" fillId="9" borderId="0" xfId="0" applyNumberFormat="1" applyFont="1" applyFill="1" applyAlignment="1">
      <alignment vertical="center"/>
    </xf>
    <xf numFmtId="181" fontId="35" fillId="9" borderId="0" xfId="0" applyNumberFormat="1" applyFont="1" applyFill="1" applyAlignment="1">
      <alignment vertical="center"/>
    </xf>
    <xf numFmtId="170" fontId="34" fillId="12" borderId="3" xfId="2" applyNumberFormat="1" applyFont="1" applyFill="1" applyBorder="1" applyAlignment="1">
      <alignment horizontal="center" vertical="center"/>
    </xf>
    <xf numFmtId="184" fontId="19" fillId="7" borderId="4" xfId="5" applyNumberFormat="1" applyFont="1" applyFill="1" applyBorder="1" applyAlignment="1">
      <alignment horizontal="left" vertical="center"/>
    </xf>
    <xf numFmtId="184" fontId="19" fillId="7" borderId="3" xfId="5" applyNumberFormat="1" applyFont="1" applyFill="1" applyBorder="1" applyAlignment="1">
      <alignment horizontal="left" vertical="center"/>
    </xf>
    <xf numFmtId="0" fontId="40" fillId="4" borderId="37" xfId="0" applyFont="1" applyFill="1" applyBorder="1" applyAlignment="1">
      <alignment vertical="center"/>
    </xf>
    <xf numFmtId="0" fontId="19" fillId="7" borderId="22" xfId="0" applyFont="1" applyFill="1" applyBorder="1" applyAlignment="1">
      <alignment vertical="center"/>
    </xf>
    <xf numFmtId="0" fontId="19" fillId="7" borderId="23" xfId="0" applyFont="1" applyFill="1" applyBorder="1" applyAlignment="1">
      <alignment vertical="center"/>
    </xf>
    <xf numFmtId="0" fontId="19" fillId="0" borderId="4" xfId="0" applyFont="1" applyBorder="1" applyAlignment="1">
      <alignment vertical="center"/>
    </xf>
    <xf numFmtId="182" fontId="35" fillId="9" borderId="0" xfId="0" applyNumberFormat="1" applyFont="1" applyFill="1" applyAlignment="1">
      <alignment vertical="center"/>
    </xf>
    <xf numFmtId="0" fontId="34" fillId="0" borderId="25" xfId="0" applyFont="1" applyBorder="1" applyAlignment="1">
      <alignment vertical="center"/>
    </xf>
    <xf numFmtId="0" fontId="34" fillId="0" borderId="26" xfId="0" applyFont="1" applyBorder="1" applyAlignment="1">
      <alignment vertical="center"/>
    </xf>
    <xf numFmtId="0" fontId="35" fillId="9" borderId="11" xfId="0" applyFont="1" applyFill="1" applyBorder="1" applyAlignment="1">
      <alignment horizontal="center" vertical="center"/>
    </xf>
    <xf numFmtId="175" fontId="19" fillId="0" borderId="11" xfId="0" applyNumberFormat="1" applyFont="1" applyBorder="1" applyAlignment="1">
      <alignment vertical="center"/>
    </xf>
    <xf numFmtId="170" fontId="19" fillId="9" borderId="11" xfId="0" applyNumberFormat="1" applyFont="1" applyFill="1" applyBorder="1" applyAlignment="1">
      <alignment vertical="center"/>
    </xf>
    <xf numFmtId="0" fontId="19" fillId="0" borderId="23" xfId="0" applyFont="1" applyBorder="1" applyAlignment="1">
      <alignment vertical="center"/>
    </xf>
    <xf numFmtId="0" fontId="19" fillId="7" borderId="28" xfId="0" applyFont="1" applyFill="1" applyBorder="1" applyAlignment="1">
      <alignment horizontal="left" vertical="center"/>
    </xf>
    <xf numFmtId="0" fontId="19" fillId="7" borderId="28" xfId="0" applyFont="1" applyFill="1" applyBorder="1" applyAlignment="1">
      <alignment vertical="center"/>
    </xf>
    <xf numFmtId="0" fontId="19" fillId="7" borderId="29" xfId="0" applyFont="1" applyFill="1" applyBorder="1" applyAlignment="1">
      <alignment vertical="center"/>
    </xf>
    <xf numFmtId="0" fontId="19" fillId="0" borderId="29" xfId="0" applyFont="1" applyBorder="1" applyAlignment="1">
      <alignment vertical="center"/>
    </xf>
    <xf numFmtId="0" fontId="19" fillId="3" borderId="38" xfId="2" applyNumberFormat="1" applyFont="1" applyFill="1" applyBorder="1" applyAlignment="1">
      <alignment vertical="center"/>
    </xf>
    <xf numFmtId="0" fontId="19" fillId="7" borderId="19" xfId="0" applyFont="1" applyFill="1" applyBorder="1" applyAlignment="1">
      <alignment horizontal="left" vertical="center"/>
    </xf>
    <xf numFmtId="0" fontId="19" fillId="7" borderId="27" xfId="0" applyFont="1" applyFill="1" applyBorder="1" applyAlignment="1">
      <alignment vertical="center"/>
    </xf>
    <xf numFmtId="0" fontId="19" fillId="3" borderId="2" xfId="2" applyNumberFormat="1" applyFont="1" applyFill="1" applyBorder="1" applyAlignment="1">
      <alignment vertical="center"/>
    </xf>
    <xf numFmtId="0" fontId="19" fillId="7" borderId="40" xfId="0" applyFont="1" applyFill="1" applyBorder="1" applyAlignment="1">
      <alignment horizontal="left" vertical="center"/>
    </xf>
    <xf numFmtId="0" fontId="19" fillId="7" borderId="40" xfId="0" applyFont="1" applyFill="1" applyBorder="1" applyAlignment="1">
      <alignment vertical="center"/>
    </xf>
    <xf numFmtId="0" fontId="19" fillId="7" borderId="41" xfId="0" applyFont="1" applyFill="1" applyBorder="1" applyAlignment="1">
      <alignment vertical="center"/>
    </xf>
    <xf numFmtId="0" fontId="19" fillId="0" borderId="41" xfId="0" applyFont="1" applyBorder="1" applyAlignment="1">
      <alignment vertical="center"/>
    </xf>
    <xf numFmtId="0" fontId="41" fillId="0" borderId="30" xfId="0" applyFont="1" applyBorder="1" applyAlignment="1">
      <alignment vertical="center"/>
    </xf>
    <xf numFmtId="170" fontId="19" fillId="3" borderId="2" xfId="2" applyNumberFormat="1" applyFont="1" applyFill="1" applyBorder="1" applyAlignment="1">
      <alignment vertical="center"/>
    </xf>
    <xf numFmtId="170" fontId="19" fillId="3" borderId="8" xfId="2" applyNumberFormat="1" applyFont="1" applyFill="1" applyBorder="1" applyAlignment="1">
      <alignment vertical="center"/>
    </xf>
    <xf numFmtId="0" fontId="41" fillId="11" borderId="11" xfId="0" applyFont="1" applyFill="1" applyBorder="1" applyAlignment="1">
      <alignment vertical="center"/>
    </xf>
    <xf numFmtId="0" fontId="41" fillId="11" borderId="42" xfId="0" applyFont="1" applyFill="1" applyBorder="1" applyAlignment="1">
      <alignment vertical="center"/>
    </xf>
    <xf numFmtId="0" fontId="41" fillId="0" borderId="11" xfId="0" applyFont="1" applyBorder="1" applyAlignment="1">
      <alignment vertical="center"/>
    </xf>
    <xf numFmtId="170" fontId="34" fillId="12" borderId="43" xfId="2" applyNumberFormat="1" applyFont="1" applyFill="1" applyBorder="1" applyAlignment="1">
      <alignment vertical="center"/>
    </xf>
    <xf numFmtId="170" fontId="34" fillId="12" borderId="44" xfId="2" applyNumberFormat="1" applyFont="1" applyFill="1" applyBorder="1" applyAlignment="1">
      <alignment vertical="center"/>
    </xf>
    <xf numFmtId="0" fontId="34" fillId="7" borderId="22" xfId="0" applyFont="1" applyFill="1" applyBorder="1" applyAlignment="1">
      <alignment vertical="center"/>
    </xf>
    <xf numFmtId="0" fontId="34" fillId="7" borderId="23" xfId="0" applyFont="1" applyFill="1" applyBorder="1" applyAlignment="1">
      <alignment vertical="center"/>
    </xf>
    <xf numFmtId="0" fontId="34" fillId="0" borderId="23" xfId="0" applyFont="1" applyBorder="1" applyAlignment="1">
      <alignment vertical="center"/>
    </xf>
    <xf numFmtId="0" fontId="35" fillId="0" borderId="14" xfId="0" applyFont="1" applyBorder="1" applyAlignment="1">
      <alignment vertical="center"/>
    </xf>
    <xf numFmtId="175" fontId="35" fillId="9" borderId="14" xfId="0" applyNumberFormat="1" applyFont="1" applyFill="1" applyBorder="1" applyAlignment="1">
      <alignment vertical="center"/>
    </xf>
    <xf numFmtId="169" fontId="35" fillId="9" borderId="14" xfId="0" applyNumberFormat="1" applyFont="1" applyFill="1" applyBorder="1" applyAlignment="1">
      <alignment vertical="center"/>
    </xf>
    <xf numFmtId="175" fontId="19" fillId="0" borderId="0" xfId="0" applyNumberFormat="1" applyFont="1" applyAlignment="1">
      <alignment vertical="center"/>
    </xf>
    <xf numFmtId="182" fontId="19" fillId="9" borderId="0" xfId="0" applyNumberFormat="1" applyFont="1" applyFill="1" applyAlignment="1">
      <alignment vertical="center"/>
    </xf>
    <xf numFmtId="0" fontId="34" fillId="0" borderId="25" xfId="0" applyFont="1" applyBorder="1" applyAlignment="1">
      <alignment horizontal="center" vertical="center"/>
    </xf>
    <xf numFmtId="0" fontId="19" fillId="7" borderId="45" xfId="0" applyFont="1" applyFill="1" applyBorder="1" applyAlignment="1">
      <alignment vertical="center"/>
    </xf>
    <xf numFmtId="0" fontId="19" fillId="7" borderId="46" xfId="0" applyFont="1" applyFill="1" applyBorder="1" applyAlignment="1">
      <alignment vertical="center"/>
    </xf>
    <xf numFmtId="0" fontId="34" fillId="0" borderId="0" xfId="0" applyFont="1" applyAlignment="1">
      <alignment vertical="center"/>
    </xf>
    <xf numFmtId="170" fontId="35" fillId="9" borderId="12" xfId="0" applyNumberFormat="1" applyFont="1" applyFill="1" applyBorder="1" applyAlignment="1">
      <alignment vertical="center"/>
    </xf>
    <xf numFmtId="185" fontId="37" fillId="0" borderId="15" xfId="0" applyNumberFormat="1" applyFont="1" applyBorder="1" applyAlignment="1">
      <alignment vertical="center"/>
    </xf>
    <xf numFmtId="185" fontId="55" fillId="0" borderId="35" xfId="0" applyNumberFormat="1" applyFont="1" applyBorder="1" applyAlignment="1">
      <alignment vertical="center"/>
    </xf>
    <xf numFmtId="185" fontId="55" fillId="0" borderId="10" xfId="0" applyNumberFormat="1" applyFont="1" applyBorder="1" applyAlignment="1">
      <alignment vertical="center"/>
    </xf>
    <xf numFmtId="185" fontId="55" fillId="0" borderId="1" xfId="0" applyNumberFormat="1" applyFont="1" applyBorder="1" applyAlignment="1">
      <alignment vertical="center"/>
    </xf>
    <xf numFmtId="185" fontId="56" fillId="0" borderId="0" xfId="0" applyNumberFormat="1" applyFont="1" applyAlignment="1">
      <alignment vertical="center"/>
    </xf>
    <xf numFmtId="185" fontId="37" fillId="4" borderId="15" xfId="0" applyNumberFormat="1" applyFont="1" applyFill="1" applyBorder="1" applyAlignment="1">
      <alignment vertical="center"/>
    </xf>
    <xf numFmtId="185" fontId="55" fillId="4" borderId="35" xfId="0" applyNumberFormat="1" applyFont="1" applyFill="1" applyBorder="1" applyAlignment="1">
      <alignment vertical="center"/>
    </xf>
    <xf numFmtId="185" fontId="55" fillId="4" borderId="10" xfId="0" applyNumberFormat="1" applyFont="1" applyFill="1" applyBorder="1" applyAlignment="1">
      <alignment vertical="center"/>
    </xf>
    <xf numFmtId="185" fontId="55" fillId="4" borderId="1" xfId="0" applyNumberFormat="1" applyFont="1" applyFill="1" applyBorder="1" applyAlignment="1">
      <alignment vertical="center"/>
    </xf>
    <xf numFmtId="185" fontId="56" fillId="9" borderId="0" xfId="0" applyNumberFormat="1" applyFont="1" applyFill="1" applyAlignment="1">
      <alignment vertical="center"/>
    </xf>
    <xf numFmtId="0" fontId="19" fillId="0" borderId="5" xfId="0" applyFont="1" applyBorder="1" applyAlignment="1">
      <alignment vertical="center"/>
    </xf>
    <xf numFmtId="170" fontId="19" fillId="3" borderId="33" xfId="2" applyNumberFormat="1" applyFont="1" applyFill="1" applyBorder="1" applyAlignment="1">
      <alignment vertical="center"/>
    </xf>
    <xf numFmtId="0" fontId="34" fillId="12" borderId="1" xfId="2" applyNumberFormat="1" applyFont="1" applyFill="1" applyBorder="1" applyAlignment="1">
      <alignment vertical="center"/>
    </xf>
    <xf numFmtId="0" fontId="55" fillId="4" borderId="35" xfId="0" applyFont="1" applyFill="1" applyBorder="1" applyAlignment="1">
      <alignment vertical="center"/>
    </xf>
    <xf numFmtId="0" fontId="55" fillId="4" borderId="10" xfId="0" applyFont="1" applyFill="1" applyBorder="1" applyAlignment="1">
      <alignment vertical="center"/>
    </xf>
    <xf numFmtId="0" fontId="55" fillId="0" borderId="10" xfId="0" applyFont="1" applyBorder="1" applyAlignment="1">
      <alignment vertical="center"/>
    </xf>
    <xf numFmtId="170" fontId="55" fillId="4" borderId="1" xfId="0" applyNumberFormat="1" applyFont="1" applyFill="1" applyBorder="1" applyAlignment="1">
      <alignment vertical="center"/>
    </xf>
    <xf numFmtId="0" fontId="56" fillId="0" borderId="0" xfId="0" applyFont="1" applyAlignment="1">
      <alignment vertical="center"/>
    </xf>
    <xf numFmtId="0" fontId="56" fillId="9" borderId="0" xfId="0" applyFont="1" applyFill="1" applyAlignment="1">
      <alignment vertical="center"/>
    </xf>
    <xf numFmtId="169" fontId="45" fillId="4" borderId="10" xfId="0" applyNumberFormat="1" applyFont="1" applyFill="1" applyBorder="1" applyAlignment="1">
      <alignment vertical="center"/>
    </xf>
    <xf numFmtId="0" fontId="57" fillId="9" borderId="0" xfId="0" applyFont="1" applyFill="1" applyAlignment="1">
      <alignment vertical="center"/>
    </xf>
    <xf numFmtId="0" fontId="34" fillId="7" borderId="26" xfId="0" applyFont="1" applyFill="1" applyBorder="1" applyAlignment="1">
      <alignment vertical="center"/>
    </xf>
    <xf numFmtId="0" fontId="35" fillId="0" borderId="0" xfId="0" applyFont="1" applyAlignment="1">
      <alignment horizontal="center" vertical="center"/>
    </xf>
    <xf numFmtId="183" fontId="19" fillId="9" borderId="0" xfId="0" applyNumberFormat="1" applyFont="1" applyFill="1" applyAlignment="1">
      <alignment vertical="center"/>
    </xf>
    <xf numFmtId="9" fontId="19" fillId="3" borderId="1" xfId="2" applyFont="1" applyFill="1" applyBorder="1" applyAlignment="1">
      <alignment vertical="center"/>
    </xf>
    <xf numFmtId="9" fontId="34" fillId="12" borderId="1" xfId="2" applyFont="1" applyFill="1" applyBorder="1" applyAlignment="1">
      <alignment vertical="center"/>
    </xf>
    <xf numFmtId="0" fontId="35" fillId="9" borderId="0" xfId="0" applyFont="1" applyFill="1" applyAlignment="1">
      <alignment horizontal="left" vertical="center"/>
    </xf>
    <xf numFmtId="9" fontId="19" fillId="9" borderId="0" xfId="2" applyFont="1" applyFill="1" applyAlignment="1" applyProtection="1">
      <alignment vertical="center"/>
    </xf>
    <xf numFmtId="0" fontId="41" fillId="11" borderId="3" xfId="0" applyFont="1" applyFill="1" applyBorder="1" applyAlignment="1">
      <alignment horizontal="left" vertical="center"/>
    </xf>
    <xf numFmtId="8" fontId="35" fillId="9" borderId="0" xfId="0" applyNumberFormat="1" applyFont="1" applyFill="1" applyAlignment="1">
      <alignment vertical="center"/>
    </xf>
    <xf numFmtId="0" fontId="19" fillId="7" borderId="20" xfId="0" applyFont="1" applyFill="1" applyBorder="1" applyAlignment="1">
      <alignment horizontal="left" vertical="center"/>
    </xf>
    <xf numFmtId="2" fontId="19" fillId="3" borderId="1" xfId="2" applyNumberFormat="1" applyFont="1" applyFill="1" applyBorder="1" applyAlignment="1">
      <alignment horizontal="center" vertical="center"/>
    </xf>
    <xf numFmtId="0" fontId="58" fillId="9" borderId="0" xfId="0" applyFont="1" applyFill="1" applyAlignment="1">
      <alignment vertical="center"/>
    </xf>
    <xf numFmtId="0" fontId="42" fillId="0" borderId="0" xfId="0" applyFont="1" applyAlignment="1">
      <alignment vertical="center"/>
    </xf>
    <xf numFmtId="10" fontId="35" fillId="0" borderId="0" xfId="0" applyNumberFormat="1" applyFont="1" applyAlignment="1">
      <alignment vertical="center"/>
    </xf>
    <xf numFmtId="0" fontId="36" fillId="0" borderId="0" xfId="0" applyFont="1" applyAlignment="1">
      <alignment horizontal="center" vertical="center"/>
    </xf>
    <xf numFmtId="0" fontId="17" fillId="5" borderId="1" xfId="0" applyFont="1" applyFill="1" applyBorder="1" applyAlignment="1">
      <alignment horizontal="center" vertical="center"/>
    </xf>
    <xf numFmtId="171" fontId="20" fillId="3" borderId="1" xfId="0" applyNumberFormat="1" applyFont="1" applyFill="1" applyBorder="1" applyAlignment="1">
      <alignment horizontal="center" vertical="center"/>
    </xf>
    <xf numFmtId="171" fontId="13" fillId="3" borderId="1" xfId="0" applyNumberFormat="1" applyFont="1" applyFill="1" applyBorder="1" applyAlignment="1">
      <alignment horizontal="center" vertical="center"/>
    </xf>
    <xf numFmtId="1" fontId="19" fillId="3" borderId="1" xfId="0" applyNumberFormat="1" applyFont="1" applyFill="1" applyBorder="1" applyAlignment="1">
      <alignment horizontal="center" vertical="center"/>
    </xf>
    <xf numFmtId="0" fontId="17" fillId="0" borderId="1" xfId="0" applyFont="1" applyBorder="1" applyAlignment="1">
      <alignment vertical="center"/>
    </xf>
    <xf numFmtId="10" fontId="19" fillId="3" borderId="1" xfId="2" applyNumberFormat="1" applyFont="1" applyFill="1" applyBorder="1" applyAlignment="1">
      <alignment horizontal="center" vertical="center"/>
    </xf>
    <xf numFmtId="185" fontId="41" fillId="11" borderId="4" xfId="0" applyNumberFormat="1" applyFont="1" applyFill="1" applyBorder="1" applyAlignment="1">
      <alignment vertical="center"/>
    </xf>
    <xf numFmtId="0" fontId="14" fillId="0" borderId="8" xfId="0" applyFont="1" applyBorder="1" applyAlignment="1">
      <alignment horizontal="center" vertical="center" wrapText="1"/>
    </xf>
    <xf numFmtId="0" fontId="13" fillId="0" borderId="8" xfId="0" applyFont="1" applyBorder="1" applyAlignment="1">
      <alignment horizontal="left" vertical="center" wrapText="1" indent="1"/>
    </xf>
    <xf numFmtId="0" fontId="13" fillId="7" borderId="0" xfId="0" applyFont="1" applyFill="1" applyAlignment="1">
      <alignment horizontal="left" vertical="center" wrapText="1" indent="3"/>
    </xf>
    <xf numFmtId="0" fontId="60" fillId="7" borderId="0" xfId="0" applyFont="1" applyFill="1" applyAlignment="1">
      <alignment horizontal="center" vertical="center" wrapText="1"/>
    </xf>
    <xf numFmtId="0" fontId="59" fillId="7" borderId="0" xfId="0" applyFont="1" applyFill="1" applyAlignment="1">
      <alignment horizontal="left" vertical="center" wrapText="1" indent="1"/>
    </xf>
    <xf numFmtId="0" fontId="13" fillId="7" borderId="0" xfId="0" applyFont="1" applyFill="1" applyAlignment="1">
      <alignment horizontal="left" vertical="center" indent="3"/>
    </xf>
    <xf numFmtId="0" fontId="14" fillId="7" borderId="0" xfId="0" applyFont="1" applyFill="1" applyAlignment="1">
      <alignment horizontal="left" vertical="center" wrapText="1" indent="3"/>
    </xf>
    <xf numFmtId="0" fontId="20" fillId="7" borderId="0" xfId="0" applyFont="1" applyFill="1" applyAlignment="1">
      <alignment horizontal="left" vertical="center" indent="3"/>
    </xf>
    <xf numFmtId="0" fontId="16" fillId="7" borderId="0" xfId="0" applyFont="1" applyFill="1" applyAlignment="1">
      <alignment horizontal="left" vertical="center" indent="3"/>
    </xf>
    <xf numFmtId="0" fontId="13" fillId="7" borderId="0" xfId="0" quotePrefix="1" applyFont="1" applyFill="1" applyAlignment="1">
      <alignment horizontal="left" vertical="center" indent="3"/>
    </xf>
    <xf numFmtId="43" fontId="20" fillId="7" borderId="1" xfId="1" applyFont="1" applyFill="1" applyBorder="1" applyAlignment="1">
      <alignment horizontal="center" vertical="center" wrapText="1"/>
    </xf>
    <xf numFmtId="0" fontId="11" fillId="5" borderId="4" xfId="0" applyFont="1" applyFill="1" applyBorder="1" applyAlignment="1">
      <alignment horizontal="center" vertical="center"/>
    </xf>
    <xf numFmtId="0" fontId="13" fillId="0" borderId="8" xfId="0" applyFont="1" applyBorder="1" applyAlignment="1">
      <alignment vertical="center"/>
    </xf>
    <xf numFmtId="0" fontId="13" fillId="0" borderId="8" xfId="0" applyFont="1" applyBorder="1" applyAlignment="1">
      <alignment vertical="center" wrapText="1"/>
    </xf>
    <xf numFmtId="0" fontId="0" fillId="9" borderId="1" xfId="0" applyFill="1" applyBorder="1"/>
    <xf numFmtId="0" fontId="63" fillId="0" borderId="1" xfId="0" applyFont="1" applyBorder="1" applyAlignment="1">
      <alignment vertical="center"/>
    </xf>
    <xf numFmtId="0" fontId="62" fillId="9" borderId="1" xfId="0" applyFont="1" applyFill="1" applyBorder="1" applyAlignment="1">
      <alignment horizontal="left" vertical="center" wrapText="1"/>
    </xf>
    <xf numFmtId="0" fontId="13" fillId="0" borderId="8" xfId="0" applyFont="1" applyBorder="1" applyAlignment="1">
      <alignment horizontal="center" vertical="center"/>
    </xf>
    <xf numFmtId="2" fontId="13" fillId="3" borderId="1" xfId="0" applyNumberFormat="1" applyFont="1" applyFill="1" applyBorder="1" applyAlignment="1">
      <alignment horizontal="center" vertical="center" wrapText="1"/>
    </xf>
    <xf numFmtId="0" fontId="64" fillId="5" borderId="3" xfId="0" applyFont="1" applyFill="1" applyBorder="1" applyAlignment="1">
      <alignment vertical="center"/>
    </xf>
    <xf numFmtId="0" fontId="64" fillId="5" borderId="4" xfId="0" applyFont="1" applyFill="1" applyBorder="1" applyAlignment="1">
      <alignment vertical="center"/>
    </xf>
    <xf numFmtId="0" fontId="1" fillId="7" borderId="1" xfId="0" applyFont="1" applyFill="1" applyBorder="1" applyAlignment="1">
      <alignment horizontal="center" vertical="center"/>
    </xf>
    <xf numFmtId="0" fontId="19" fillId="0" borderId="1" xfId="2" applyNumberFormat="1" applyFont="1" applyFill="1" applyBorder="1" applyAlignment="1">
      <alignment horizontal="left" vertical="center"/>
    </xf>
    <xf numFmtId="0" fontId="1" fillId="0" borderId="1" xfId="0" applyFont="1" applyBorder="1" applyAlignment="1">
      <alignment horizontal="center" vertical="center"/>
    </xf>
    <xf numFmtId="179" fontId="1" fillId="0" borderId="1" xfId="0" applyNumberFormat="1" applyFont="1" applyBorder="1" applyAlignment="1">
      <alignment horizontal="center" vertical="center"/>
    </xf>
    <xf numFmtId="9" fontId="1" fillId="0" borderId="1" xfId="2" applyFont="1" applyFill="1" applyBorder="1" applyAlignment="1">
      <alignment horizontal="center" vertical="center"/>
    </xf>
    <xf numFmtId="0" fontId="11" fillId="0" borderId="1" xfId="0" applyFont="1" applyBorder="1" applyAlignment="1">
      <alignment vertical="center" wrapText="1"/>
    </xf>
    <xf numFmtId="0" fontId="20" fillId="0" borderId="1" xfId="0" applyFont="1" applyBorder="1" applyAlignment="1">
      <alignment horizontal="left" vertical="center" indent="1"/>
    </xf>
    <xf numFmtId="0" fontId="18" fillId="0" borderId="1" xfId="0" applyFont="1" applyBorder="1" applyAlignment="1">
      <alignment horizontal="center" vertical="center"/>
    </xf>
    <xf numFmtId="1" fontId="18" fillId="0" borderId="1" xfId="0" applyNumberFormat="1" applyFont="1" applyBorder="1" applyAlignment="1">
      <alignment horizontal="center" vertical="center"/>
    </xf>
    <xf numFmtId="0" fontId="24" fillId="0" borderId="1" xfId="0" applyFont="1" applyBorder="1" applyAlignment="1">
      <alignment horizontal="center" vertical="center"/>
    </xf>
    <xf numFmtId="3" fontId="19" fillId="3" borderId="1" xfId="2" applyNumberFormat="1" applyFont="1" applyFill="1" applyBorder="1" applyAlignment="1">
      <alignment horizontal="center" vertical="center"/>
    </xf>
    <xf numFmtId="170" fontId="35" fillId="0" borderId="14" xfId="0" applyNumberFormat="1" applyFont="1" applyBorder="1" applyAlignment="1">
      <alignment vertical="center"/>
    </xf>
    <xf numFmtId="0" fontId="61" fillId="0" borderId="1" xfId="0" applyFont="1" applyBorder="1" applyAlignment="1">
      <alignment vertical="center" textRotation="90"/>
    </xf>
    <xf numFmtId="185" fontId="19" fillId="3" borderId="1" xfId="2" applyNumberFormat="1" applyFont="1" applyFill="1" applyBorder="1" applyAlignment="1">
      <alignment horizontal="center" vertical="center"/>
    </xf>
    <xf numFmtId="170" fontId="30" fillId="3" borderId="16" xfId="0" applyNumberFormat="1" applyFont="1" applyFill="1" applyBorder="1" applyAlignment="1">
      <alignment vertical="center"/>
    </xf>
    <xf numFmtId="184" fontId="19" fillId="3" borderId="1" xfId="0" applyNumberFormat="1" applyFont="1" applyFill="1" applyBorder="1" applyAlignment="1">
      <alignment horizontal="center" vertical="center"/>
    </xf>
    <xf numFmtId="0" fontId="1" fillId="7" borderId="3" xfId="0" applyFont="1" applyFill="1" applyBorder="1" applyAlignment="1">
      <alignment horizontal="center" vertical="center"/>
    </xf>
    <xf numFmtId="0" fontId="13" fillId="3" borderId="3" xfId="0" applyFont="1" applyFill="1" applyBorder="1" applyAlignment="1">
      <alignment horizontal="center" vertical="center" wrapText="1"/>
    </xf>
    <xf numFmtId="3" fontId="13" fillId="3" borderId="1" xfId="0" applyNumberFormat="1" applyFont="1" applyFill="1" applyBorder="1" applyAlignment="1">
      <alignment horizontal="center" vertical="center" wrapText="1"/>
    </xf>
    <xf numFmtId="9" fontId="13" fillId="3" borderId="3" xfId="2" applyFont="1" applyFill="1" applyBorder="1" applyAlignment="1">
      <alignment horizontal="center" vertical="center" wrapText="1"/>
    </xf>
    <xf numFmtId="9" fontId="1" fillId="7" borderId="3" xfId="2" applyFont="1" applyFill="1" applyBorder="1" applyAlignment="1">
      <alignment horizontal="center" vertical="center"/>
    </xf>
    <xf numFmtId="0" fontId="13" fillId="0" borderId="5" xfId="0" applyFont="1" applyBorder="1" applyAlignment="1">
      <alignment horizontal="center" vertical="center" wrapText="1"/>
    </xf>
    <xf numFmtId="43" fontId="13" fillId="0" borderId="2" xfId="0" applyNumberFormat="1" applyFont="1" applyBorder="1" applyAlignment="1">
      <alignment horizontal="center" vertical="center"/>
    </xf>
    <xf numFmtId="0" fontId="11" fillId="0" borderId="9" xfId="0" applyFont="1" applyBorder="1" applyAlignment="1">
      <alignment vertical="center"/>
    </xf>
    <xf numFmtId="0" fontId="1" fillId="0" borderId="9" xfId="0" applyFont="1" applyBorder="1" applyAlignment="1">
      <alignment horizontal="center" vertical="center"/>
    </xf>
    <xf numFmtId="0" fontId="13" fillId="0" borderId="9" xfId="0" applyFont="1" applyBorder="1" applyAlignment="1">
      <alignment horizontal="center" vertical="center" wrapText="1"/>
    </xf>
    <xf numFmtId="170" fontId="19" fillId="7" borderId="3" xfId="0" applyNumberFormat="1" applyFont="1" applyFill="1" applyBorder="1" applyAlignment="1">
      <alignment horizontal="left" vertical="center"/>
    </xf>
    <xf numFmtId="170" fontId="19" fillId="0" borderId="23" xfId="0" applyNumberFormat="1" applyFont="1" applyBorder="1" applyAlignment="1">
      <alignment vertical="center"/>
    </xf>
    <xf numFmtId="0" fontId="13" fillId="3" borderId="22" xfId="0" applyFont="1" applyFill="1" applyBorder="1" applyAlignment="1">
      <alignment horizontal="center" vertical="center" wrapText="1"/>
    </xf>
    <xf numFmtId="9" fontId="18" fillId="3" borderId="8" xfId="2" applyFont="1" applyFill="1" applyBorder="1" applyAlignment="1">
      <alignment horizontal="center" vertical="center"/>
    </xf>
    <xf numFmtId="0" fontId="13" fillId="9" borderId="1" xfId="0" applyFont="1" applyFill="1" applyBorder="1" applyAlignment="1">
      <alignment vertical="center" wrapText="1"/>
    </xf>
    <xf numFmtId="0" fontId="13" fillId="9" borderId="1" xfId="0" applyFont="1" applyFill="1" applyBorder="1" applyAlignment="1">
      <alignment vertical="center"/>
    </xf>
    <xf numFmtId="14" fontId="19" fillId="8" borderId="1" xfId="0" applyNumberFormat="1" applyFont="1" applyFill="1" applyBorder="1" applyAlignment="1">
      <alignment horizontal="center" vertical="center"/>
    </xf>
    <xf numFmtId="0" fontId="13" fillId="3" borderId="1" xfId="0" quotePrefix="1" applyFont="1" applyFill="1" applyBorder="1" applyAlignment="1">
      <alignment horizontal="left" vertical="center" wrapText="1" indent="1"/>
    </xf>
    <xf numFmtId="171" fontId="13" fillId="3" borderId="1" xfId="1" applyNumberFormat="1" applyFont="1" applyFill="1" applyBorder="1" applyAlignment="1">
      <alignment horizontal="center" vertical="center" wrapText="1"/>
    </xf>
    <xf numFmtId="171" fontId="13" fillId="7" borderId="1" xfId="1" applyNumberFormat="1" applyFont="1" applyFill="1" applyBorder="1" applyAlignment="1">
      <alignment horizontal="center" vertical="center" wrapText="1"/>
    </xf>
    <xf numFmtId="171" fontId="20" fillId="3" borderId="1" xfId="1" applyNumberFormat="1" applyFont="1" applyFill="1" applyBorder="1" applyAlignment="1">
      <alignment horizontal="center" vertical="center" wrapText="1"/>
    </xf>
    <xf numFmtId="0" fontId="12" fillId="0" borderId="1" xfId="0" applyFont="1" applyBorder="1" applyAlignment="1">
      <alignment vertical="center"/>
    </xf>
    <xf numFmtId="165" fontId="13" fillId="3" borderId="1" xfId="0" applyNumberFormat="1" applyFont="1" applyFill="1" applyBorder="1" applyAlignment="1">
      <alignment horizontal="right" vertical="center"/>
    </xf>
    <xf numFmtId="168" fontId="13" fillId="3" borderId="1" xfId="1" applyNumberFormat="1" applyFont="1" applyFill="1" applyBorder="1" applyAlignment="1">
      <alignment horizontal="right" vertical="center"/>
    </xf>
    <xf numFmtId="188" fontId="13" fillId="3" borderId="1" xfId="1" applyNumberFormat="1" applyFont="1" applyFill="1" applyBorder="1" applyAlignment="1">
      <alignment horizontal="right" vertical="center"/>
    </xf>
    <xf numFmtId="3" fontId="13" fillId="3" borderId="1" xfId="0" applyNumberFormat="1" applyFont="1" applyFill="1" applyBorder="1" applyAlignment="1">
      <alignment horizontal="right" vertical="center"/>
    </xf>
    <xf numFmtId="0" fontId="13" fillId="3" borderId="1" xfId="0" applyFont="1" applyFill="1" applyBorder="1" applyAlignment="1">
      <alignment horizontal="left" vertical="center" wrapText="1"/>
    </xf>
    <xf numFmtId="187" fontId="13" fillId="3" borderId="1" xfId="0" applyNumberFormat="1" applyFont="1" applyFill="1" applyBorder="1" applyAlignment="1">
      <alignment horizontal="right" vertical="center" wrapText="1"/>
    </xf>
    <xf numFmtId="187" fontId="1" fillId="7" borderId="1" xfId="0" applyNumberFormat="1" applyFont="1" applyFill="1" applyBorder="1" applyAlignment="1">
      <alignment horizontal="right" vertical="center"/>
    </xf>
    <xf numFmtId="3" fontId="13" fillId="3" borderId="1" xfId="0" applyNumberFormat="1" applyFont="1" applyFill="1" applyBorder="1" applyAlignment="1">
      <alignment horizontal="right" vertical="center" wrapText="1"/>
    </xf>
    <xf numFmtId="10" fontId="13" fillId="3" borderId="1" xfId="2" applyNumberFormat="1" applyFont="1" applyFill="1" applyBorder="1" applyAlignment="1">
      <alignment horizontal="right" vertical="center" wrapText="1"/>
    </xf>
    <xf numFmtId="9" fontId="13" fillId="3" borderId="1" xfId="2" applyFont="1" applyFill="1" applyBorder="1" applyAlignment="1">
      <alignment horizontal="right" vertical="center" wrapText="1"/>
    </xf>
    <xf numFmtId="0" fontId="13" fillId="3" borderId="1" xfId="0" applyFont="1" applyFill="1" applyBorder="1" applyAlignment="1">
      <alignment horizontal="right" vertical="center" wrapText="1"/>
    </xf>
    <xf numFmtId="0" fontId="13" fillId="7" borderId="1" xfId="0" applyFont="1" applyFill="1" applyBorder="1" applyAlignment="1">
      <alignment horizontal="left" vertical="center" wrapText="1"/>
    </xf>
    <xf numFmtId="0" fontId="13" fillId="7" borderId="1" xfId="0" applyFont="1" applyFill="1" applyBorder="1" applyAlignment="1">
      <alignment vertical="center" wrapText="1"/>
    </xf>
    <xf numFmtId="43" fontId="13" fillId="9" borderId="1" xfId="1" applyFont="1" applyFill="1" applyBorder="1" applyAlignment="1">
      <alignment vertical="center"/>
    </xf>
    <xf numFmtId="0" fontId="0" fillId="9" borderId="0" xfId="0" applyFill="1"/>
    <xf numFmtId="0" fontId="0" fillId="9" borderId="0" xfId="0" applyFill="1" applyAlignment="1">
      <alignment horizontal="center"/>
    </xf>
    <xf numFmtId="171" fontId="13" fillId="9" borderId="1" xfId="1" applyNumberFormat="1" applyFont="1" applyFill="1" applyBorder="1" applyAlignment="1">
      <alignment vertical="center"/>
    </xf>
    <xf numFmtId="43" fontId="0" fillId="9" borderId="0" xfId="1" applyFont="1" applyFill="1"/>
    <xf numFmtId="0" fontId="11" fillId="5" borderId="2" xfId="0" applyFont="1" applyFill="1" applyBorder="1" applyAlignment="1">
      <alignment horizontal="center" vertical="center"/>
    </xf>
    <xf numFmtId="0" fontId="13" fillId="9" borderId="0" xfId="0" applyFont="1" applyFill="1" applyAlignment="1">
      <alignment vertical="center"/>
    </xf>
    <xf numFmtId="0" fontId="13" fillId="9" borderId="3" xfId="0" applyFont="1" applyFill="1" applyBorder="1" applyAlignment="1">
      <alignment vertical="center"/>
    </xf>
    <xf numFmtId="0" fontId="65" fillId="0" borderId="30" xfId="0" applyFont="1" applyBorder="1" applyAlignment="1">
      <alignment vertical="center"/>
    </xf>
    <xf numFmtId="0" fontId="13" fillId="15" borderId="1" xfId="0" applyFont="1" applyFill="1" applyBorder="1" applyAlignment="1">
      <alignment horizontal="left" vertical="center" wrapText="1" indent="1"/>
    </xf>
    <xf numFmtId="0" fontId="13"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center" vertical="center"/>
      <protection locked="0"/>
    </xf>
    <xf numFmtId="9" fontId="19" fillId="15" borderId="1" xfId="2" applyFont="1" applyFill="1" applyBorder="1" applyAlignment="1" applyProtection="1">
      <alignment horizontal="center" vertical="center"/>
      <protection locked="0"/>
    </xf>
    <xf numFmtId="0" fontId="19" fillId="15" borderId="1" xfId="2" applyNumberFormat="1" applyFont="1" applyFill="1" applyBorder="1" applyAlignment="1" applyProtection="1">
      <alignment horizontal="center" vertical="center"/>
      <protection locked="0"/>
    </xf>
    <xf numFmtId="0" fontId="19" fillId="15" borderId="2" xfId="0" applyFont="1" applyFill="1" applyBorder="1" applyAlignment="1" applyProtection="1">
      <alignment horizontal="center" vertical="center"/>
      <protection locked="0"/>
    </xf>
    <xf numFmtId="0" fontId="19" fillId="15" borderId="5" xfId="0" applyFont="1" applyFill="1" applyBorder="1" applyAlignment="1" applyProtection="1">
      <alignment horizontal="center" vertical="center"/>
      <protection locked="0"/>
    </xf>
    <xf numFmtId="9" fontId="19" fillId="15" borderId="1" xfId="2" applyFont="1" applyFill="1" applyBorder="1" applyAlignment="1" applyProtection="1">
      <alignment vertical="center"/>
      <protection locked="0"/>
    </xf>
    <xf numFmtId="2" fontId="19" fillId="15" borderId="1" xfId="2" applyNumberFormat="1" applyFont="1" applyFill="1" applyBorder="1" applyAlignment="1" applyProtection="1">
      <alignment horizontal="center" vertical="center"/>
      <protection locked="0"/>
    </xf>
    <xf numFmtId="184" fontId="19" fillId="15" borderId="1" xfId="0" applyNumberFormat="1" applyFont="1" applyFill="1" applyBorder="1" applyAlignment="1" applyProtection="1">
      <alignment horizontal="center" vertical="center"/>
      <protection locked="0"/>
    </xf>
    <xf numFmtId="184" fontId="19" fillId="15" borderId="8" xfId="0" applyNumberFormat="1" applyFont="1" applyFill="1" applyBorder="1" applyAlignment="1" applyProtection="1">
      <alignment horizontal="center" vertical="center"/>
      <protection locked="0"/>
    </xf>
    <xf numFmtId="2" fontId="19" fillId="15" borderId="1" xfId="0" applyNumberFormat="1" applyFont="1" applyFill="1" applyBorder="1" applyAlignment="1" applyProtection="1">
      <alignment horizontal="center" vertical="center"/>
      <protection locked="0"/>
    </xf>
    <xf numFmtId="9" fontId="19" fillId="15" borderId="5" xfId="2" applyFont="1" applyFill="1" applyBorder="1" applyAlignment="1" applyProtection="1">
      <alignment vertical="center"/>
      <protection locked="0"/>
    </xf>
    <xf numFmtId="0" fontId="35" fillId="0" borderId="1" xfId="0" applyFont="1" applyBorder="1" applyAlignment="1">
      <alignment horizontal="left" vertical="center"/>
    </xf>
    <xf numFmtId="0" fontId="13" fillId="0" borderId="19" xfId="0" applyFont="1" applyBorder="1" applyAlignment="1">
      <alignment vertical="center"/>
    </xf>
    <xf numFmtId="0" fontId="13" fillId="0" borderId="31" xfId="0" applyFont="1" applyBorder="1" applyAlignment="1">
      <alignment vertical="center"/>
    </xf>
    <xf numFmtId="0" fontId="11" fillId="5" borderId="2" xfId="0" applyFont="1" applyFill="1" applyBorder="1" applyAlignment="1">
      <alignment horizontal="center" vertical="center" wrapText="1"/>
    </xf>
    <xf numFmtId="0" fontId="13" fillId="9" borderId="5" xfId="0" applyFont="1" applyFill="1" applyBorder="1" applyAlignment="1">
      <alignment vertical="center"/>
    </xf>
    <xf numFmtId="0" fontId="66" fillId="0" borderId="30" xfId="0" applyFont="1" applyBorder="1" applyAlignment="1">
      <alignment vertical="center"/>
    </xf>
    <xf numFmtId="43" fontId="0" fillId="9" borderId="0" xfId="1" applyFont="1" applyFill="1" applyBorder="1"/>
    <xf numFmtId="43" fontId="13" fillId="9" borderId="51" xfId="1" applyFont="1" applyFill="1" applyBorder="1" applyAlignment="1">
      <alignment vertical="center"/>
    </xf>
    <xf numFmtId="0" fontId="13" fillId="0" borderId="0" xfId="0" applyFont="1" applyAlignment="1">
      <alignment vertical="center"/>
    </xf>
    <xf numFmtId="43" fontId="13" fillId="9" borderId="0" xfId="1" applyFont="1" applyFill="1" applyBorder="1" applyAlignment="1">
      <alignment vertical="center"/>
    </xf>
    <xf numFmtId="0" fontId="17" fillId="9" borderId="0" xfId="0" applyFont="1" applyFill="1" applyAlignment="1">
      <alignment vertical="center"/>
    </xf>
    <xf numFmtId="189" fontId="19" fillId="15" borderId="1" xfId="2" applyNumberFormat="1" applyFont="1" applyFill="1" applyBorder="1" applyAlignment="1" applyProtection="1">
      <alignment horizontal="center" vertical="center"/>
      <protection locked="0"/>
    </xf>
    <xf numFmtId="179" fontId="19" fillId="9" borderId="1" xfId="2" applyNumberFormat="1" applyFont="1" applyFill="1" applyBorder="1" applyAlignment="1" applyProtection="1">
      <alignment horizontal="center" vertical="center"/>
    </xf>
    <xf numFmtId="0" fontId="13" fillId="7" borderId="0" xfId="0" applyFont="1" applyFill="1" applyAlignment="1">
      <alignment horizontal="center" vertical="center" wrapText="1"/>
    </xf>
    <xf numFmtId="0" fontId="13" fillId="0" borderId="53" xfId="0" applyFont="1" applyBorder="1" applyAlignment="1">
      <alignment vertical="center"/>
    </xf>
    <xf numFmtId="0" fontId="13" fillId="9" borderId="53" xfId="0" applyFont="1" applyFill="1" applyBorder="1" applyAlignment="1">
      <alignment horizontal="center" vertical="center" wrapText="1"/>
    </xf>
    <xf numFmtId="0" fontId="13" fillId="7" borderId="52" xfId="0" applyFont="1" applyFill="1" applyBorder="1" applyAlignment="1">
      <alignment horizontal="left" vertical="center" wrapText="1"/>
    </xf>
    <xf numFmtId="0" fontId="13" fillId="7" borderId="0" xfId="0" applyFont="1" applyFill="1" applyAlignment="1">
      <alignment horizontal="left" vertical="center" wrapText="1"/>
    </xf>
    <xf numFmtId="0" fontId="13" fillId="7" borderId="4" xfId="0" applyFont="1" applyFill="1" applyBorder="1" applyAlignment="1">
      <alignment horizontal="center" vertical="center" wrapText="1"/>
    </xf>
    <xf numFmtId="0" fontId="13" fillId="7" borderId="4" xfId="0" applyFont="1" applyFill="1" applyBorder="1" applyAlignment="1">
      <alignment horizontal="left" vertical="center" wrapText="1"/>
    </xf>
    <xf numFmtId="0" fontId="13" fillId="7" borderId="30" xfId="0" applyFont="1" applyFill="1" applyBorder="1" applyAlignment="1">
      <alignment horizontal="center" vertical="center" wrapText="1"/>
    </xf>
    <xf numFmtId="0" fontId="0" fillId="9" borderId="0" xfId="0" applyFill="1" applyAlignment="1">
      <alignment horizontal="center" vertical="center"/>
    </xf>
    <xf numFmtId="0" fontId="13" fillId="0" borderId="3" xfId="0" applyFont="1" applyBorder="1" applyAlignment="1">
      <alignment horizontal="center" vertical="center"/>
    </xf>
    <xf numFmtId="0" fontId="13" fillId="9" borderId="0" xfId="0" applyFont="1" applyFill="1" applyAlignment="1">
      <alignment horizontal="center" vertical="center"/>
    </xf>
    <xf numFmtId="0" fontId="13" fillId="9" borderId="1" xfId="0" applyFont="1" applyFill="1" applyBorder="1" applyAlignment="1">
      <alignment horizontal="center" vertical="center"/>
    </xf>
    <xf numFmtId="0" fontId="13" fillId="7" borderId="54" xfId="0" applyFont="1" applyFill="1" applyBorder="1" applyAlignment="1">
      <alignment horizontal="center" vertical="center" wrapText="1"/>
    </xf>
    <xf numFmtId="0" fontId="0" fillId="0" borderId="0" xfId="0" applyAlignment="1">
      <alignment horizontal="center"/>
    </xf>
    <xf numFmtId="0" fontId="0" fillId="0" borderId="53" xfId="0" applyBorder="1" applyAlignment="1">
      <alignment horizontal="center"/>
    </xf>
    <xf numFmtId="3" fontId="13" fillId="9" borderId="53" xfId="0" applyNumberFormat="1" applyFont="1" applyFill="1" applyBorder="1" applyAlignment="1">
      <alignment horizontal="center" vertical="center" wrapText="1"/>
    </xf>
    <xf numFmtId="0" fontId="13" fillId="7" borderId="5" xfId="0" applyFont="1" applyFill="1" applyBorder="1" applyAlignment="1">
      <alignment horizontal="center" vertical="center" wrapText="1"/>
    </xf>
    <xf numFmtId="0" fontId="13" fillId="7" borderId="55" xfId="0" applyFont="1" applyFill="1" applyBorder="1" applyAlignment="1">
      <alignment horizontal="center" vertical="center" wrapText="1"/>
    </xf>
    <xf numFmtId="0" fontId="13" fillId="7" borderId="50"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14" fillId="4" borderId="23"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0" fillId="9" borderId="23" xfId="0" applyFill="1" applyBorder="1"/>
    <xf numFmtId="0" fontId="14" fillId="4" borderId="1" xfId="0" applyFont="1" applyFill="1" applyBorder="1" applyAlignment="1">
      <alignment horizontal="center" vertical="center" wrapText="1"/>
    </xf>
    <xf numFmtId="43" fontId="4" fillId="7" borderId="5" xfId="1" applyFont="1" applyFill="1" applyBorder="1" applyAlignment="1">
      <alignment horizontal="center" vertical="center"/>
    </xf>
    <xf numFmtId="0" fontId="4" fillId="3" borderId="1" xfId="1" applyNumberFormat="1" applyFont="1" applyFill="1" applyBorder="1" applyAlignment="1">
      <alignment horizontal="center" vertical="center" wrapText="1"/>
    </xf>
    <xf numFmtId="0" fontId="11" fillId="5" borderId="50" xfId="0" applyFont="1" applyFill="1" applyBorder="1" applyAlignment="1">
      <alignment horizontal="center" vertical="center"/>
    </xf>
    <xf numFmtId="0" fontId="11" fillId="5" borderId="8" xfId="0" applyFont="1" applyFill="1" applyBorder="1" applyAlignment="1">
      <alignment horizontal="center" vertical="center" wrapText="1"/>
    </xf>
    <xf numFmtId="43" fontId="11" fillId="5" borderId="8" xfId="1" applyFont="1" applyFill="1" applyBorder="1" applyAlignment="1">
      <alignment horizontal="center" vertical="center" wrapText="1"/>
    </xf>
    <xf numFmtId="0" fontId="20" fillId="7" borderId="2" xfId="0" applyFont="1" applyFill="1" applyBorder="1" applyAlignment="1">
      <alignment horizontal="center" vertical="center" wrapText="1"/>
    </xf>
    <xf numFmtId="171" fontId="20" fillId="3" borderId="2" xfId="1" applyNumberFormat="1" applyFont="1" applyFill="1" applyBorder="1" applyAlignment="1">
      <alignment horizontal="center" vertical="center" wrapText="1"/>
    </xf>
    <xf numFmtId="3" fontId="13" fillId="8" borderId="1" xfId="0" applyNumberFormat="1" applyFont="1" applyFill="1" applyBorder="1" applyAlignment="1" applyProtection="1">
      <alignment horizontal="center" vertical="center" wrapText="1"/>
      <protection locked="0"/>
    </xf>
    <xf numFmtId="3" fontId="13" fillId="8" borderId="50" xfId="0" applyNumberFormat="1" applyFont="1" applyFill="1" applyBorder="1" applyAlignment="1" applyProtection="1">
      <alignment horizontal="center" vertical="center" wrapText="1"/>
      <protection locked="0"/>
    </xf>
    <xf numFmtId="3" fontId="13" fillId="8" borderId="52" xfId="0" applyNumberFormat="1" applyFont="1" applyFill="1" applyBorder="1" applyAlignment="1" applyProtection="1">
      <alignment horizontal="center" vertical="center" wrapText="1"/>
      <protection locked="0"/>
    </xf>
    <xf numFmtId="3" fontId="13" fillId="8" borderId="4" xfId="0" applyNumberFormat="1" applyFont="1" applyFill="1" applyBorder="1" applyAlignment="1" applyProtection="1">
      <alignment horizontal="center" vertical="center" wrapText="1"/>
      <protection locked="0"/>
    </xf>
    <xf numFmtId="3" fontId="13" fillId="8" borderId="0" xfId="0" applyNumberFormat="1" applyFont="1" applyFill="1" applyAlignment="1" applyProtection="1">
      <alignment horizontal="center" vertical="center" wrapText="1"/>
      <protection locked="0"/>
    </xf>
    <xf numFmtId="3" fontId="13" fillId="8" borderId="2" xfId="0" applyNumberFormat="1" applyFont="1" applyFill="1" applyBorder="1" applyAlignment="1" applyProtection="1">
      <alignment horizontal="center" vertical="center" wrapText="1"/>
      <protection locked="0"/>
    </xf>
    <xf numFmtId="3" fontId="13" fillId="8" borderId="3" xfId="0" applyNumberFormat="1" applyFont="1" applyFill="1" applyBorder="1" applyAlignment="1" applyProtection="1">
      <alignment horizontal="center" vertical="center" wrapText="1"/>
      <protection locked="0"/>
    </xf>
    <xf numFmtId="0" fontId="14" fillId="4" borderId="23" xfId="0" applyFont="1" applyFill="1" applyBorder="1" applyAlignment="1">
      <alignment horizontal="left" vertical="center" wrapText="1"/>
    </xf>
    <xf numFmtId="49" fontId="13" fillId="7" borderId="0" xfId="0" quotePrefix="1" applyNumberFormat="1" applyFont="1" applyFill="1" applyAlignment="1">
      <alignment horizontal="left" vertical="center" indent="3"/>
    </xf>
    <xf numFmtId="0" fontId="12" fillId="0" borderId="1" xfId="0" applyFont="1" applyBorder="1" applyAlignment="1" applyProtection="1">
      <alignment vertical="center"/>
      <protection locked="0"/>
    </xf>
    <xf numFmtId="0" fontId="13" fillId="7" borderId="0" xfId="0" applyFont="1" applyFill="1" applyAlignment="1">
      <alignment horizontal="left" vertical="center" wrapText="1" indent="3"/>
    </xf>
    <xf numFmtId="0" fontId="17" fillId="5" borderId="1" xfId="0" applyFont="1" applyFill="1" applyBorder="1" applyAlignment="1">
      <alignment horizontal="center" vertical="center"/>
    </xf>
    <xf numFmtId="0" fontId="11" fillId="5" borderId="1" xfId="0" applyFont="1" applyFill="1" applyBorder="1" applyAlignment="1">
      <alignment horizontal="center" vertical="center" wrapText="1"/>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5" xfId="0" applyFont="1" applyFill="1" applyBorder="1" applyAlignment="1">
      <alignment horizontal="center" vertical="center"/>
    </xf>
    <xf numFmtId="165" fontId="13" fillId="3" borderId="3" xfId="0" applyNumberFormat="1" applyFont="1" applyFill="1" applyBorder="1" applyAlignment="1">
      <alignment horizontal="center" vertical="center"/>
    </xf>
    <xf numFmtId="165" fontId="13" fillId="3" borderId="4" xfId="0" applyNumberFormat="1" applyFont="1" applyFill="1" applyBorder="1" applyAlignment="1">
      <alignment horizontal="center" vertical="center"/>
    </xf>
    <xf numFmtId="0" fontId="13" fillId="5" borderId="3" xfId="0" applyFont="1" applyFill="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33" fillId="5" borderId="3" xfId="0" applyFont="1" applyFill="1" applyBorder="1" applyAlignment="1">
      <alignment horizontal="center" vertical="center" wrapText="1"/>
    </xf>
    <xf numFmtId="0" fontId="33" fillId="5" borderId="4" xfId="0" applyFont="1" applyFill="1" applyBorder="1" applyAlignment="1">
      <alignment horizontal="center" vertical="center" wrapText="1"/>
    </xf>
    <xf numFmtId="0" fontId="33" fillId="5" borderId="5" xfId="0" applyFont="1" applyFill="1" applyBorder="1" applyAlignment="1">
      <alignment horizontal="center" vertical="center" wrapText="1"/>
    </xf>
    <xf numFmtId="0" fontId="33" fillId="13" borderId="8" xfId="0" applyFont="1" applyFill="1" applyBorder="1" applyAlignment="1">
      <alignment horizontal="center" vertical="center" textRotation="90"/>
    </xf>
    <xf numFmtId="0" fontId="33" fillId="13" borderId="50" xfId="0" applyFont="1" applyFill="1" applyBorder="1" applyAlignment="1">
      <alignment horizontal="center" vertical="center" textRotation="90"/>
    </xf>
    <xf numFmtId="0" fontId="33" fillId="13" borderId="2" xfId="0" applyFont="1" applyFill="1" applyBorder="1" applyAlignment="1">
      <alignment horizontal="center" vertical="center" textRotation="90"/>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27" fillId="9" borderId="3" xfId="0" applyFont="1" applyFill="1" applyBorder="1" applyAlignment="1">
      <alignment horizontal="center" vertical="center"/>
    </xf>
    <xf numFmtId="0" fontId="27" fillId="9" borderId="4" xfId="0" applyFont="1" applyFill="1" applyBorder="1" applyAlignment="1">
      <alignment horizontal="center" vertical="center"/>
    </xf>
    <xf numFmtId="0" fontId="27" fillId="9" borderId="5" xfId="0" applyFont="1" applyFill="1" applyBorder="1" applyAlignment="1">
      <alignment horizontal="center" vertical="center"/>
    </xf>
    <xf numFmtId="0" fontId="22" fillId="0" borderId="3" xfId="0" applyFont="1" applyBorder="1" applyAlignment="1">
      <alignment horizontal="right" vertical="center"/>
    </xf>
    <xf numFmtId="0" fontId="22" fillId="0" borderId="5" xfId="0" applyFont="1" applyBorder="1" applyAlignment="1">
      <alignment horizontal="right" vertical="center"/>
    </xf>
    <xf numFmtId="0" fontId="13" fillId="5" borderId="30" xfId="0" applyFont="1" applyFill="1" applyBorder="1" applyAlignment="1">
      <alignment horizontal="center" vertical="center"/>
    </xf>
    <xf numFmtId="0" fontId="13" fillId="5" borderId="31" xfId="0" applyFont="1" applyFill="1" applyBorder="1" applyAlignment="1">
      <alignment horizontal="center" vertical="center"/>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33" fillId="13" borderId="1" xfId="0" applyFont="1" applyFill="1" applyBorder="1" applyAlignment="1">
      <alignment horizontal="center" vertical="center" textRotation="90"/>
    </xf>
    <xf numFmtId="0" fontId="17" fillId="5" borderId="3" xfId="0" applyFont="1" applyFill="1" applyBorder="1" applyAlignment="1">
      <alignment horizontal="center" vertical="center" wrapText="1"/>
    </xf>
    <xf numFmtId="0" fontId="17" fillId="5" borderId="4"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8" fillId="8" borderId="3" xfId="0" applyFont="1" applyFill="1" applyBorder="1" applyAlignment="1" applyProtection="1">
      <alignment horizontal="left" vertical="center" indent="1"/>
      <protection locked="0"/>
    </xf>
    <xf numFmtId="0" fontId="18" fillId="8" borderId="4" xfId="0" applyFont="1" applyFill="1" applyBorder="1" applyAlignment="1" applyProtection="1">
      <alignment horizontal="left" vertical="center" indent="1"/>
      <protection locked="0"/>
    </xf>
    <xf numFmtId="0" fontId="18" fillId="8" borderId="5" xfId="0" applyFont="1" applyFill="1" applyBorder="1" applyAlignment="1" applyProtection="1">
      <alignment horizontal="left" vertical="center" indent="1"/>
      <protection locked="0"/>
    </xf>
    <xf numFmtId="0" fontId="21" fillId="3" borderId="3" xfId="0" applyFont="1" applyFill="1" applyBorder="1" applyAlignment="1">
      <alignment horizontal="left" vertical="center" wrapText="1" indent="1"/>
    </xf>
    <xf numFmtId="0" fontId="21" fillId="3" borderId="4" xfId="0" applyFont="1" applyFill="1" applyBorder="1" applyAlignment="1">
      <alignment horizontal="left" vertical="center" wrapText="1" indent="1"/>
    </xf>
    <xf numFmtId="0" fontId="21" fillId="3" borderId="5" xfId="0" applyFont="1" applyFill="1" applyBorder="1" applyAlignment="1">
      <alignment horizontal="left" vertical="center" wrapText="1" indent="1"/>
    </xf>
    <xf numFmtId="0" fontId="17" fillId="16" borderId="0" xfId="0" applyFont="1" applyFill="1" applyAlignment="1">
      <alignment horizontal="center" vertical="center"/>
    </xf>
    <xf numFmtId="0" fontId="11" fillId="5" borderId="3"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19" xfId="0" applyFont="1" applyFill="1" applyBorder="1" applyAlignment="1">
      <alignment horizontal="center" vertical="center"/>
    </xf>
    <xf numFmtId="0" fontId="11" fillId="5" borderId="31" xfId="0" applyFont="1" applyFill="1" applyBorder="1" applyAlignment="1">
      <alignment horizontal="center" vertical="center"/>
    </xf>
    <xf numFmtId="0" fontId="20" fillId="7" borderId="3"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36" fillId="3" borderId="15" xfId="0" applyFont="1" applyFill="1" applyBorder="1" applyAlignment="1">
      <alignment horizontal="center" vertical="center"/>
    </xf>
    <xf numFmtId="0" fontId="36" fillId="3" borderId="17" xfId="0" applyFont="1" applyFill="1" applyBorder="1" applyAlignment="1">
      <alignment horizontal="center" vertical="center"/>
    </xf>
    <xf numFmtId="0" fontId="36" fillId="7" borderId="15" xfId="0" applyFont="1" applyFill="1" applyBorder="1" applyAlignment="1">
      <alignment horizontal="center" vertical="center"/>
    </xf>
    <xf numFmtId="0" fontId="36" fillId="7" borderId="17" xfId="0" applyFont="1" applyFill="1" applyBorder="1" applyAlignment="1">
      <alignment horizontal="center" vertical="center"/>
    </xf>
    <xf numFmtId="0" fontId="36" fillId="7" borderId="15" xfId="0" applyFont="1" applyFill="1" applyBorder="1" applyAlignment="1">
      <alignment horizontal="center" vertical="center" wrapText="1"/>
    </xf>
    <xf numFmtId="0" fontId="36" fillId="7" borderId="17" xfId="0" applyFont="1" applyFill="1" applyBorder="1" applyAlignment="1">
      <alignment horizontal="center" vertical="center" wrapText="1"/>
    </xf>
    <xf numFmtId="0" fontId="37" fillId="5" borderId="4" xfId="0" applyFont="1" applyFill="1" applyBorder="1" applyAlignment="1">
      <alignment horizontal="center" vertical="center"/>
    </xf>
    <xf numFmtId="0" fontId="37" fillId="5" borderId="4" xfId="0" applyFont="1" applyFill="1" applyBorder="1" applyAlignment="1">
      <alignment horizontal="center" vertical="center" wrapText="1"/>
    </xf>
    <xf numFmtId="0" fontId="19" fillId="7" borderId="0" xfId="0" applyFont="1" applyFill="1" applyAlignment="1">
      <alignment vertical="center"/>
    </xf>
    <xf numFmtId="0" fontId="19" fillId="7" borderId="32" xfId="0" applyFont="1" applyFill="1" applyBorder="1" applyAlignment="1">
      <alignment vertical="center"/>
    </xf>
    <xf numFmtId="0" fontId="34" fillId="7" borderId="4" xfId="0" applyFont="1" applyFill="1" applyBorder="1" applyAlignment="1">
      <alignment vertical="center"/>
    </xf>
    <xf numFmtId="0" fontId="40" fillId="4" borderId="35" xfId="0" applyFont="1" applyFill="1" applyBorder="1" applyAlignment="1">
      <alignment horizontal="left" vertical="center"/>
    </xf>
    <xf numFmtId="0" fontId="40" fillId="4" borderId="10" xfId="0" applyFont="1" applyFill="1" applyBorder="1" applyAlignment="1">
      <alignment horizontal="left" vertical="center"/>
    </xf>
    <xf numFmtId="0" fontId="19" fillId="7" borderId="30" xfId="0" applyFont="1" applyFill="1" applyBorder="1" applyAlignment="1">
      <alignment vertical="center"/>
    </xf>
    <xf numFmtId="0" fontId="19" fillId="7" borderId="31" xfId="0" applyFont="1" applyFill="1" applyBorder="1" applyAlignment="1">
      <alignment vertical="center"/>
    </xf>
    <xf numFmtId="0" fontId="19" fillId="3" borderId="3" xfId="0" applyFont="1" applyFill="1" applyBorder="1" applyAlignment="1">
      <alignment horizontal="center" vertical="center"/>
    </xf>
    <xf numFmtId="0" fontId="19" fillId="3" borderId="5" xfId="0" applyFont="1" applyFill="1" applyBorder="1" applyAlignment="1">
      <alignment horizontal="center" vertical="center"/>
    </xf>
    <xf numFmtId="0" fontId="11" fillId="5" borderId="4" xfId="0" applyFont="1" applyFill="1" applyBorder="1" applyAlignment="1">
      <alignment horizontal="center" vertical="center"/>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5" xfId="0" applyFont="1" applyFill="1" applyBorder="1" applyAlignment="1">
      <alignment horizontal="left" vertical="center" wrapText="1"/>
    </xf>
    <xf numFmtId="0" fontId="4" fillId="2" borderId="0" xfId="0" applyFont="1" applyFill="1" applyAlignment="1">
      <alignment horizontal="left" vertical="center"/>
    </xf>
    <xf numFmtId="0" fontId="68" fillId="17" borderId="0" xfId="0" applyFont="1" applyFill="1" applyAlignment="1">
      <alignment horizontal="center" vertical="center"/>
    </xf>
    <xf numFmtId="0" fontId="11" fillId="5" borderId="56" xfId="0" applyFont="1" applyFill="1" applyBorder="1" applyAlignment="1">
      <alignment horizontal="center" vertical="center"/>
    </xf>
    <xf numFmtId="0" fontId="17" fillId="14" borderId="0" xfId="0" applyFont="1" applyFill="1" applyAlignment="1">
      <alignment horizontal="center" vertical="center"/>
    </xf>
    <xf numFmtId="3" fontId="13" fillId="8" borderId="3" xfId="0" applyNumberFormat="1" applyFont="1" applyFill="1" applyBorder="1" applyAlignment="1" applyProtection="1">
      <alignment horizontal="left" vertical="center" wrapText="1"/>
      <protection locked="0"/>
    </xf>
    <xf numFmtId="3" fontId="13" fillId="8" borderId="5" xfId="0" applyNumberFormat="1" applyFont="1" applyFill="1" applyBorder="1" applyAlignment="1" applyProtection="1">
      <alignment horizontal="left" vertical="center" wrapText="1"/>
      <protection locked="0"/>
    </xf>
    <xf numFmtId="0" fontId="11" fillId="5" borderId="56" xfId="0" applyFont="1" applyFill="1" applyBorder="1" applyAlignment="1">
      <alignment horizontal="center" vertical="center" wrapText="1"/>
    </xf>
    <xf numFmtId="0" fontId="14" fillId="4" borderId="3" xfId="0" applyFont="1" applyFill="1" applyBorder="1" applyAlignment="1">
      <alignment horizontal="left" vertical="center" wrapText="1"/>
    </xf>
    <xf numFmtId="0" fontId="14" fillId="4" borderId="4" xfId="0" applyFont="1" applyFill="1" applyBorder="1" applyAlignment="1">
      <alignment horizontal="left" vertical="center" wrapText="1"/>
    </xf>
    <xf numFmtId="3" fontId="13" fillId="8" borderId="27" xfId="0" applyNumberFormat="1" applyFont="1" applyFill="1" applyBorder="1" applyAlignment="1" applyProtection="1">
      <alignment horizontal="left" vertical="center" wrapText="1"/>
      <protection locked="0"/>
    </xf>
    <xf numFmtId="3" fontId="13" fillId="8" borderId="32" xfId="0" applyNumberFormat="1" applyFont="1" applyFill="1" applyBorder="1" applyAlignment="1" applyProtection="1">
      <alignment horizontal="left" vertical="center" wrapText="1"/>
      <protection locked="0"/>
    </xf>
    <xf numFmtId="0" fontId="20" fillId="7" borderId="1" xfId="0" applyFont="1" applyFill="1" applyBorder="1" applyAlignment="1">
      <alignment horizontal="left" vertical="center" wrapText="1"/>
    </xf>
    <xf numFmtId="0" fontId="67" fillId="7" borderId="1" xfId="0" applyFont="1" applyFill="1" applyBorder="1" applyAlignment="1">
      <alignment horizontal="left" vertical="center" wrapText="1"/>
    </xf>
    <xf numFmtId="0" fontId="13" fillId="15" borderId="1" xfId="0" applyFont="1" applyFill="1" applyBorder="1" applyAlignment="1" applyProtection="1">
      <alignment horizontal="left" vertical="center" wrapText="1"/>
      <protection locked="0"/>
    </xf>
    <xf numFmtId="0" fontId="11" fillId="5" borderId="27" xfId="0" applyFont="1" applyFill="1" applyBorder="1" applyAlignment="1">
      <alignment horizontal="center" vertical="center"/>
    </xf>
    <xf numFmtId="0" fontId="11" fillId="5" borderId="32" xfId="0" applyFont="1" applyFill="1" applyBorder="1" applyAlignment="1">
      <alignment horizontal="center" vertical="center"/>
    </xf>
    <xf numFmtId="0" fontId="11" fillId="5" borderId="0" xfId="0" applyFont="1" applyFill="1" applyAlignment="1">
      <alignment horizontal="center" vertical="center"/>
    </xf>
    <xf numFmtId="0" fontId="13" fillId="3"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171" fontId="13" fillId="3" borderId="1" xfId="1" applyNumberFormat="1" applyFont="1" applyFill="1" applyBorder="1" applyAlignment="1">
      <alignment horizontal="left" vertical="center" wrapText="1"/>
    </xf>
    <xf numFmtId="0" fontId="13" fillId="7" borderId="19" xfId="0" applyFont="1" applyFill="1" applyBorder="1" applyAlignment="1">
      <alignment horizontal="left" vertical="center" wrapText="1"/>
    </xf>
    <xf numFmtId="0" fontId="13" fillId="7" borderId="30" xfId="0" applyFont="1" applyFill="1" applyBorder="1" applyAlignment="1">
      <alignment horizontal="left" vertical="center" wrapText="1"/>
    </xf>
    <xf numFmtId="0" fontId="13" fillId="7" borderId="31" xfId="0" applyFont="1" applyFill="1" applyBorder="1" applyAlignment="1">
      <alignment horizontal="left" vertical="center" wrapText="1"/>
    </xf>
    <xf numFmtId="0" fontId="13" fillId="7" borderId="3"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7" borderId="5" xfId="0" applyFont="1" applyFill="1" applyBorder="1" applyAlignment="1">
      <alignment horizontal="left" vertical="center" wrapText="1"/>
    </xf>
    <xf numFmtId="0" fontId="17" fillId="14" borderId="23" xfId="0" applyFont="1" applyFill="1" applyBorder="1" applyAlignment="1">
      <alignment horizontal="center" vertical="center"/>
    </xf>
    <xf numFmtId="0" fontId="17" fillId="14" borderId="51" xfId="0" applyFont="1" applyFill="1" applyBorder="1" applyAlignment="1">
      <alignment horizontal="center" vertical="center"/>
    </xf>
    <xf numFmtId="0" fontId="11" fillId="5" borderId="22" xfId="0" applyFont="1" applyFill="1" applyBorder="1" applyAlignment="1">
      <alignment horizontal="left" vertical="center"/>
    </xf>
    <xf numFmtId="0" fontId="11" fillId="5" borderId="23" xfId="0" applyFont="1" applyFill="1" applyBorder="1" applyAlignment="1">
      <alignment horizontal="left" vertical="center"/>
    </xf>
    <xf numFmtId="0" fontId="11" fillId="5" borderId="51" xfId="0" applyFont="1" applyFill="1" applyBorder="1" applyAlignment="1">
      <alignment horizontal="left" vertical="center"/>
    </xf>
  </cellXfs>
  <cellStyles count="6">
    <cellStyle name="Comma" xfId="1" builtinId="3"/>
    <cellStyle name="Currency" xfId="5" builtinId="4"/>
    <cellStyle name="Normal" xfId="0" builtinId="0"/>
    <cellStyle name="Normal_FORMA_1" xfId="4" xr:uid="{7BD88715-CDCA-4489-B605-2EDE80C54E88}"/>
    <cellStyle name="Normal_MS Model- Powerlight Walmart 18Mar07 CA" xfId="3" xr:uid="{03B6B019-38FD-420A-8FCB-71E77E9F2F03}"/>
    <cellStyle name="Percent" xfId="2" builtinId="5"/>
  </cellStyles>
  <dxfs count="1">
    <dxf>
      <font>
        <color theme="0" tint="-0.499984740745262"/>
      </font>
      <fill>
        <patternFill>
          <bgColor theme="0" tint="-0.24994659260841701"/>
        </patternFill>
      </fill>
    </dxf>
  </dxfs>
  <tableStyles count="0" defaultTableStyle="TableStyleMedium2" defaultPivotStyle="PivotStyleLight16"/>
  <colors>
    <mruColors>
      <color rgb="FFFFC1C1"/>
      <color rgb="FFFFD966"/>
      <color rgb="FFD9D9D9"/>
      <color rgb="FFC10000"/>
      <color rgb="FFC00000"/>
      <color rgb="FFFF9797"/>
      <color rgb="FFFA0000"/>
      <color rgb="FFFF7979"/>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Financing Structure</a:t>
            </a:r>
          </a:p>
        </c:rich>
      </c:tx>
      <c:layout>
        <c:manualLayout>
          <c:xMode val="edge"/>
          <c:yMode val="edge"/>
          <c:x val="0.32432634132336641"/>
          <c:y val="1.0668177670376889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2229977508278087E-2"/>
          <c:y val="0.15806518946623538"/>
          <c:w val="0.52849615117823256"/>
          <c:h val="0.81345690531981596"/>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BE88-4DDB-B572-D5D6B039A14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BE88-4DDB-B572-D5D6B039A14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BE88-4DDB-B572-D5D6B039A14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BE88-4DDB-B572-D5D6B039A14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 Report'!$AJ$7:$AJ$10</c:f>
              <c:strCache>
                <c:ptCount val="4"/>
                <c:pt idx="0">
                  <c:v>Developer Equity</c:v>
                </c:pt>
                <c:pt idx="1">
                  <c:v>Investor Equity</c:v>
                </c:pt>
                <c:pt idx="2">
                  <c:v>Grant</c:v>
                </c:pt>
                <c:pt idx="3">
                  <c:v>Debt</c:v>
                </c:pt>
              </c:strCache>
            </c:strRef>
          </c:cat>
          <c:val>
            <c:numRef>
              <c:f>'3. Report'!$AL$7:$AL$10</c:f>
              <c:numCache>
                <c:formatCode>0%</c:formatCode>
                <c:ptCount val="4"/>
                <c:pt idx="0">
                  <c:v>0.5</c:v>
                </c:pt>
                <c:pt idx="1">
                  <c:v>0</c:v>
                </c:pt>
                <c:pt idx="2">
                  <c:v>0</c:v>
                </c:pt>
                <c:pt idx="3">
                  <c:v>0.5</c:v>
                </c:pt>
              </c:numCache>
            </c:numRef>
          </c:val>
          <c:extLst>
            <c:ext xmlns:c16="http://schemas.microsoft.com/office/drawing/2014/chart" uri="{C3380CC4-5D6E-409C-BE32-E72D297353CC}">
              <c16:uniqueId val="{00000002-8413-47A6-AA16-6487135278A5}"/>
            </c:ext>
          </c:extLst>
        </c:ser>
        <c:dLbls>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65394604827101677"/>
          <c:y val="0.26196912529086752"/>
          <c:w val="0.31496235899390845"/>
          <c:h val="0.55507870414742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kumimoji="0" lang="en-GB" sz="1600" b="1" i="0" u="none" strike="noStrike" kern="1200" cap="none" spc="0" normalizeH="0" baseline="0">
                <a:ln>
                  <a:noFill/>
                </a:ln>
                <a:solidFill>
                  <a:sysClr val="windowText" lastClr="000000">
                    <a:lumMod val="65000"/>
                    <a:lumOff val="35000"/>
                  </a:sysClr>
                </a:solidFill>
                <a:effectLst/>
                <a:uLnTx/>
                <a:uFillTx/>
                <a:latin typeface="Calibri"/>
                <a:ea typeface="+mn-ea"/>
                <a:cs typeface="+mn-cs"/>
              </a:defRPr>
            </a:pPr>
            <a:r>
              <a:rPr kumimoji="0" lang="en-GB" sz="1600" b="1" i="0" u="none" strike="noStrike" kern="1200" cap="none" spc="0" normalizeH="0" baseline="0">
                <a:ln>
                  <a:noFill/>
                </a:ln>
                <a:solidFill>
                  <a:sysClr val="windowText" lastClr="000000">
                    <a:lumMod val="65000"/>
                    <a:lumOff val="35000"/>
                  </a:sysClr>
                </a:solidFill>
                <a:effectLst/>
                <a:uLnTx/>
                <a:uFillTx/>
                <a:latin typeface="Calibri"/>
                <a:ea typeface="+mn-ea"/>
                <a:cs typeface="+mn-cs"/>
              </a:rPr>
              <a:t>Income Statement</a:t>
            </a:r>
          </a:p>
        </c:rich>
      </c:tx>
      <c:overlay val="0"/>
      <c:spPr>
        <a:noFill/>
        <a:ln>
          <a:noFill/>
        </a:ln>
        <a:effectLst/>
      </c:spPr>
      <c:txPr>
        <a:bodyPr rot="0" spcFirstLastPara="1" vertOverflow="ellipsis" vert="horz" wrap="square" anchor="ctr" anchorCtr="1"/>
        <a:lstStyle/>
        <a:p>
          <a:pPr algn="ctr" rtl="0">
            <a:defRPr kumimoji="0" lang="en-GB" sz="1600" b="1" i="0" u="none" strike="noStrike" kern="1200" cap="none" spc="0" normalizeH="0" baseline="0">
              <a:ln>
                <a:noFill/>
              </a:ln>
              <a:solidFill>
                <a:sysClr val="windowText" lastClr="000000">
                  <a:lumMod val="65000"/>
                  <a:lumOff val="35000"/>
                </a:sysClr>
              </a:solidFill>
              <a:effectLst/>
              <a:uLnTx/>
              <a:uFillTx/>
              <a:latin typeface="Calibri"/>
              <a:ea typeface="+mn-ea"/>
              <a:cs typeface="+mn-cs"/>
            </a:defRPr>
          </a:pPr>
          <a:endParaRPr lang="en-US"/>
        </a:p>
      </c:txPr>
    </c:title>
    <c:autoTitleDeleted val="0"/>
    <c:plotArea>
      <c:layout>
        <c:manualLayout>
          <c:layoutTarget val="inner"/>
          <c:xMode val="edge"/>
          <c:yMode val="edge"/>
          <c:x val="0.18552181783910943"/>
          <c:y val="0.18411242213015283"/>
          <c:w val="0.77589955485651707"/>
          <c:h val="0.57907725694541701"/>
        </c:manualLayout>
      </c:layout>
      <c:barChart>
        <c:barDir val="col"/>
        <c:grouping val="stacked"/>
        <c:varyColors val="0"/>
        <c:ser>
          <c:idx val="3"/>
          <c:order val="0"/>
          <c:tx>
            <c:strRef>
              <c:f>'Backend Finance'!$C$416</c:f>
              <c:strCache>
                <c:ptCount val="1"/>
                <c:pt idx="0">
                  <c:v> Net Income </c:v>
                </c:pt>
              </c:strCache>
            </c:strRef>
          </c:tx>
          <c:spPr>
            <a:solidFill>
              <a:schemeClr val="accent2">
                <a:lumMod val="60000"/>
              </a:schemeClr>
            </a:solidFill>
            <a:ln>
              <a:noFill/>
            </a:ln>
            <a:effectLst/>
          </c:spPr>
          <c:invertIfNegative val="0"/>
          <c:cat>
            <c:numRef>
              <c:f>'Backend Finance'!$I$1:$AG$1</c:f>
              <c:numCache>
                <c:formatCode>_(#,##0_);\(#,##0\);_("-"_);_(@_)</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'Backend Finance'!$I$416:$AG$416</c:f>
              <c:numCache>
                <c:formatCode>_-[$$-409]* #,##0_ ;_-[$$-409]* \-#,##0\ ;_-[$$-409]* "-"??_ ;_-@_ </c:formatCode>
                <c:ptCount val="25"/>
                <c:pt idx="0">
                  <c:v>-4222.5609970868081</c:v>
                </c:pt>
                <c:pt idx="1">
                  <c:v>-3819.5856433562253</c:v>
                </c:pt>
                <c:pt idx="2">
                  <c:v>-3348.3337963619388</c:v>
                </c:pt>
                <c:pt idx="3">
                  <c:v>-2800.3870336168284</c:v>
                </c:pt>
                <c:pt idx="4">
                  <c:v>-2166.3111781999437</c:v>
                </c:pt>
                <c:pt idx="5">
                  <c:v>-1435.5343035714686</c:v>
                </c:pt>
                <c:pt idx="6">
                  <c:v>-1633.221531969908</c:v>
                </c:pt>
                <c:pt idx="7">
                  <c:v>-1833.529065974576</c:v>
                </c:pt>
                <c:pt idx="8">
                  <c:v>-2036.5173123313634</c:v>
                </c:pt>
                <c:pt idx="9">
                  <c:v>-2242.2478379177992</c:v>
                </c:pt>
                <c:pt idx="10">
                  <c:v>-2450.7833932326603</c:v>
                </c:pt>
                <c:pt idx="11">
                  <c:v>-2662.1879363552125</c:v>
                </c:pt>
                <c:pt idx="12">
                  <c:v>-2876.5266573814042</c:v>
                </c:pt>
                <c:pt idx="13">
                  <c:v>-3093.8660033470587</c:v>
                </c:pt>
                <c:pt idx="14">
                  <c:v>-3314.2737036478547</c:v>
                </c:pt>
                <c:pt idx="15">
                  <c:v>-2821.0145533315585</c:v>
                </c:pt>
                <c:pt idx="16">
                  <c:v>-3047.7674100793288</c:v>
                </c:pt>
                <c:pt idx="17">
                  <c:v>-3277.7997653698189</c:v>
                </c:pt>
                <c:pt idx="18">
                  <c:v>-3511.1847425254359</c:v>
                </c:pt>
                <c:pt idx="19">
                  <c:v>-3747.9968821349271</c:v>
                </c:pt>
                <c:pt idx="20">
                  <c:v>-3988.3121706699062</c:v>
                </c:pt>
                <c:pt idx="21">
                  <c:v>-4232.2080696720814</c:v>
                </c:pt>
                <c:pt idx="22">
                  <c:v>-5482.9009608410652</c:v>
                </c:pt>
                <c:pt idx="23">
                  <c:v>-5728.1776906318109</c:v>
                </c:pt>
                <c:pt idx="24">
                  <c:v>-5977.3126795567796</c:v>
                </c:pt>
              </c:numCache>
            </c:numRef>
          </c:val>
          <c:extLst>
            <c:ext xmlns:c16="http://schemas.microsoft.com/office/drawing/2014/chart" uri="{C3380CC4-5D6E-409C-BE32-E72D297353CC}">
              <c16:uniqueId val="{00000000-74F6-443C-9155-1E1C5ECE526C}"/>
            </c:ext>
          </c:extLst>
        </c:ser>
        <c:ser>
          <c:idx val="0"/>
          <c:order val="1"/>
          <c:tx>
            <c:strRef>
              <c:f>'Backend Finance'!$C$401</c:f>
              <c:strCache>
                <c:ptCount val="1"/>
                <c:pt idx="0">
                  <c:v>EBT</c:v>
                </c:pt>
              </c:strCache>
            </c:strRef>
          </c:tx>
          <c:spPr>
            <a:solidFill>
              <a:schemeClr val="accent2"/>
            </a:solidFill>
            <a:ln>
              <a:noFill/>
            </a:ln>
            <a:effectLst/>
          </c:spPr>
          <c:invertIfNegative val="0"/>
          <c:cat>
            <c:numRef>
              <c:f>'Backend Finance'!$I$1:$AG$1</c:f>
              <c:numCache>
                <c:formatCode>_(#,##0_);\(#,##0\);_("-"_);_(@_)</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'Backend Finance'!$H$401:$AG$401</c:f>
              <c:numCache>
                <c:formatCode>[$$-409]#,##0</c:formatCode>
                <c:ptCount val="26"/>
                <c:pt idx="0">
                  <c:v>0</c:v>
                </c:pt>
                <c:pt idx="1">
                  <c:v>-4222.5609970868081</c:v>
                </c:pt>
                <c:pt idx="2">
                  <c:v>-3819.5856433562253</c:v>
                </c:pt>
                <c:pt idx="3">
                  <c:v>-3348.3337963619388</c:v>
                </c:pt>
                <c:pt idx="4">
                  <c:v>-2800.3870336168284</c:v>
                </c:pt>
                <c:pt idx="5">
                  <c:v>-2166.3111781999437</c:v>
                </c:pt>
                <c:pt idx="6">
                  <c:v>-1435.5343035714686</c:v>
                </c:pt>
                <c:pt idx="7">
                  <c:v>-1633.221531969908</c:v>
                </c:pt>
                <c:pt idx="8">
                  <c:v>-1833.529065974576</c:v>
                </c:pt>
                <c:pt idx="9">
                  <c:v>-2036.5173123313634</c:v>
                </c:pt>
                <c:pt idx="10">
                  <c:v>-2242.2478379177992</c:v>
                </c:pt>
                <c:pt idx="11">
                  <c:v>-2450.7833932326603</c:v>
                </c:pt>
                <c:pt idx="12">
                  <c:v>-2662.1879363552125</c:v>
                </c:pt>
                <c:pt idx="13">
                  <c:v>-2876.5266573814042</c:v>
                </c:pt>
                <c:pt idx="14">
                  <c:v>-3093.8660033470587</c:v>
                </c:pt>
                <c:pt idx="15">
                  <c:v>-3314.2737036478547</c:v>
                </c:pt>
                <c:pt idx="16">
                  <c:v>-2821.0145533315585</c:v>
                </c:pt>
                <c:pt idx="17">
                  <c:v>-3047.7674100793288</c:v>
                </c:pt>
                <c:pt idx="18">
                  <c:v>-3277.7997653698189</c:v>
                </c:pt>
                <c:pt idx="19">
                  <c:v>-3511.1847425254359</c:v>
                </c:pt>
                <c:pt idx="20">
                  <c:v>-3747.9968821349271</c:v>
                </c:pt>
                <c:pt idx="21">
                  <c:v>-3988.3121706699062</c:v>
                </c:pt>
                <c:pt idx="22">
                  <c:v>-4232.2080696720814</c:v>
                </c:pt>
                <c:pt idx="23">
                  <c:v>-5482.9009608410652</c:v>
                </c:pt>
                <c:pt idx="24">
                  <c:v>-5728.1776906318109</c:v>
                </c:pt>
                <c:pt idx="25">
                  <c:v>-5977.3126795567796</c:v>
                </c:pt>
              </c:numCache>
            </c:numRef>
          </c:val>
          <c:extLst>
            <c:ext xmlns:c16="http://schemas.microsoft.com/office/drawing/2014/chart" uri="{C3380CC4-5D6E-409C-BE32-E72D297353CC}">
              <c16:uniqueId val="{00000001-74F6-443C-9155-1E1C5ECE526C}"/>
            </c:ext>
          </c:extLst>
        </c:ser>
        <c:ser>
          <c:idx val="2"/>
          <c:order val="2"/>
          <c:tx>
            <c:strRef>
              <c:f>'Backend Finance'!$C$376</c:f>
              <c:strCache>
                <c:ptCount val="1"/>
                <c:pt idx="0">
                  <c:v>EBIT</c:v>
                </c:pt>
              </c:strCache>
            </c:strRef>
          </c:tx>
          <c:spPr>
            <a:solidFill>
              <a:schemeClr val="accent6"/>
            </a:solidFill>
            <a:ln>
              <a:noFill/>
            </a:ln>
            <a:effectLst/>
          </c:spPr>
          <c:invertIfNegative val="0"/>
          <c:cat>
            <c:numRef>
              <c:f>'Backend Finance'!$I$1:$AG$1</c:f>
              <c:numCache>
                <c:formatCode>_(#,##0_);\(#,##0\);_("-"_);_(@_)</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'Backend Finance'!$I$376:$AG$376</c:f>
              <c:numCache>
                <c:formatCode>[$$-409]#,##0</c:formatCode>
                <c:ptCount val="25"/>
                <c:pt idx="0">
                  <c:v>-484.36685422966593</c:v>
                </c:pt>
                <c:pt idx="1">
                  <c:v>-669.81963846982444</c:v>
                </c:pt>
                <c:pt idx="2">
                  <c:v>-857.60730600276884</c:v>
                </c:pt>
                <c:pt idx="3">
                  <c:v>-1047.7847995281568</c:v>
                </c:pt>
                <c:pt idx="4">
                  <c:v>-1240.4081111342307</c:v>
                </c:pt>
                <c:pt idx="5">
                  <c:v>-1435.5343035714691</c:v>
                </c:pt>
                <c:pt idx="6">
                  <c:v>-1633.2215319699085</c:v>
                </c:pt>
                <c:pt idx="7">
                  <c:v>-1833.5290659745765</c:v>
                </c:pt>
                <c:pt idx="8">
                  <c:v>-2036.5173123313639</c:v>
                </c:pt>
                <c:pt idx="9">
                  <c:v>-2242.2478379177996</c:v>
                </c:pt>
                <c:pt idx="10">
                  <c:v>-2450.7833932326607</c:v>
                </c:pt>
                <c:pt idx="11">
                  <c:v>-2662.187936355213</c:v>
                </c:pt>
                <c:pt idx="12">
                  <c:v>-2876.5266573814047</c:v>
                </c:pt>
                <c:pt idx="13">
                  <c:v>-3093.8660033470592</c:v>
                </c:pt>
                <c:pt idx="14">
                  <c:v>-3314.2737036478552</c:v>
                </c:pt>
                <c:pt idx="15">
                  <c:v>-2821.014553331559</c:v>
                </c:pt>
                <c:pt idx="16">
                  <c:v>-3047.7674100793292</c:v>
                </c:pt>
                <c:pt idx="17">
                  <c:v>-3277.7997653698194</c:v>
                </c:pt>
                <c:pt idx="18">
                  <c:v>-3511.1847425254364</c:v>
                </c:pt>
                <c:pt idx="19">
                  <c:v>-3747.9968821349275</c:v>
                </c:pt>
                <c:pt idx="20">
                  <c:v>-3988.3121706699067</c:v>
                </c:pt>
                <c:pt idx="21">
                  <c:v>-4232.2080696720823</c:v>
                </c:pt>
                <c:pt idx="22">
                  <c:v>-5482.9009608410661</c:v>
                </c:pt>
                <c:pt idx="23">
                  <c:v>-5728.1776906318119</c:v>
                </c:pt>
                <c:pt idx="24">
                  <c:v>-5977.3126795567805</c:v>
                </c:pt>
              </c:numCache>
            </c:numRef>
          </c:val>
          <c:extLst>
            <c:ext xmlns:c16="http://schemas.microsoft.com/office/drawing/2014/chart" uri="{C3380CC4-5D6E-409C-BE32-E72D297353CC}">
              <c16:uniqueId val="{00000002-74F6-443C-9155-1E1C5ECE526C}"/>
            </c:ext>
          </c:extLst>
        </c:ser>
        <c:ser>
          <c:idx val="1"/>
          <c:order val="3"/>
          <c:tx>
            <c:strRef>
              <c:f>'Backend Finance'!$C$367</c:f>
              <c:strCache>
                <c:ptCount val="1"/>
                <c:pt idx="0">
                  <c:v>EBITDA</c:v>
                </c:pt>
              </c:strCache>
            </c:strRef>
          </c:tx>
          <c:spPr>
            <a:solidFill>
              <a:schemeClr val="accent4"/>
            </a:solidFill>
            <a:ln>
              <a:noFill/>
            </a:ln>
            <a:effectLst/>
          </c:spPr>
          <c:invertIfNegative val="0"/>
          <c:cat>
            <c:numRef>
              <c:f>'Backend Finance'!$I$1:$AG$1</c:f>
              <c:numCache>
                <c:formatCode>_(#,##0_);\(#,##0\);_("-"_);_(@_)</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cat>
          <c:val>
            <c:numRef>
              <c:f>'Backend Finance'!$H$367:$AG$367</c:f>
              <c:numCache>
                <c:formatCode>[$$-409]#,##0</c:formatCode>
                <c:ptCount val="26"/>
                <c:pt idx="0">
                  <c:v>0</c:v>
                </c:pt>
                <c:pt idx="1">
                  <c:v>2178.797372876561</c:v>
                </c:pt>
                <c:pt idx="2">
                  <c:v>1993.3445886364025</c:v>
                </c:pt>
                <c:pt idx="3">
                  <c:v>1805.5569211034581</c:v>
                </c:pt>
                <c:pt idx="4">
                  <c:v>1615.3794275780701</c:v>
                </c:pt>
                <c:pt idx="5">
                  <c:v>1422.7561159719962</c:v>
                </c:pt>
                <c:pt idx="6">
                  <c:v>1227.6299235347578</c:v>
                </c:pt>
                <c:pt idx="7">
                  <c:v>1029.9426951363184</c:v>
                </c:pt>
                <c:pt idx="8">
                  <c:v>829.63516113165042</c:v>
                </c:pt>
                <c:pt idx="9">
                  <c:v>626.64691477486303</c:v>
                </c:pt>
                <c:pt idx="10">
                  <c:v>420.91638918842727</c:v>
                </c:pt>
                <c:pt idx="11">
                  <c:v>212.38083387356619</c:v>
                </c:pt>
                <c:pt idx="12">
                  <c:v>0.97629075101394847</c:v>
                </c:pt>
                <c:pt idx="13">
                  <c:v>-213.36243027517776</c:v>
                </c:pt>
                <c:pt idx="14">
                  <c:v>-430.70177624083226</c:v>
                </c:pt>
                <c:pt idx="15">
                  <c:v>-651.10947654162828</c:v>
                </c:pt>
                <c:pt idx="16">
                  <c:v>-874.65456875728978</c:v>
                </c:pt>
                <c:pt idx="17">
                  <c:v>-1101.40742550506</c:v>
                </c:pt>
                <c:pt idx="18">
                  <c:v>-1331.4397807955502</c:v>
                </c:pt>
                <c:pt idx="19">
                  <c:v>-1564.8247579511672</c:v>
                </c:pt>
                <c:pt idx="20">
                  <c:v>-1801.6368975606583</c:v>
                </c:pt>
                <c:pt idx="21">
                  <c:v>-2041.9521860956374</c:v>
                </c:pt>
                <c:pt idx="22">
                  <c:v>-2285.8480850978131</c:v>
                </c:pt>
                <c:pt idx="23">
                  <c:v>-3536.5409762667969</c:v>
                </c:pt>
                <c:pt idx="24">
                  <c:v>-3781.8177060575426</c:v>
                </c:pt>
                <c:pt idx="25">
                  <c:v>-4030.9526949825113</c:v>
                </c:pt>
              </c:numCache>
            </c:numRef>
          </c:val>
          <c:extLst>
            <c:ext xmlns:c16="http://schemas.microsoft.com/office/drawing/2014/chart" uri="{C3380CC4-5D6E-409C-BE32-E72D297353CC}">
              <c16:uniqueId val="{00000003-74F6-443C-9155-1E1C5ECE526C}"/>
            </c:ext>
          </c:extLst>
        </c:ser>
        <c:dLbls>
          <c:showLegendKey val="0"/>
          <c:showVal val="0"/>
          <c:showCatName val="0"/>
          <c:showSerName val="0"/>
          <c:showPercent val="0"/>
          <c:showBubbleSize val="0"/>
        </c:dLbls>
        <c:gapWidth val="150"/>
        <c:overlap val="100"/>
        <c:axId val="102967552"/>
        <c:axId val="102977920"/>
      </c:barChart>
      <c:catAx>
        <c:axId val="102967552"/>
        <c:scaling>
          <c:orientation val="minMax"/>
        </c:scaling>
        <c:delete val="0"/>
        <c:axPos val="b"/>
        <c:title>
          <c:tx>
            <c:rich>
              <a:bodyPr rot="0" spcFirstLastPara="1" vertOverflow="ellipsis" vert="horz" wrap="square" anchor="ctr" anchorCtr="1"/>
              <a:lstStyle/>
              <a:p>
                <a:pPr algn="ctr" rtl="0">
                  <a:defRPr lang="en-GB" sz="1400" b="1" i="0" u="none" strike="noStrike" kern="1200" baseline="0">
                    <a:solidFill>
                      <a:sysClr val="windowText" lastClr="000000"/>
                    </a:solidFill>
                    <a:latin typeface="+mn-lt"/>
                    <a:ea typeface="+mn-ea"/>
                    <a:cs typeface="+mn-cs"/>
                  </a:defRPr>
                </a:pPr>
                <a:r>
                  <a:rPr lang="en-GB" sz="1400" b="1" i="0" u="none" strike="noStrike" kern="1200" baseline="0">
                    <a:solidFill>
                      <a:sysClr val="windowText" lastClr="000000"/>
                    </a:solidFill>
                    <a:latin typeface="+mn-lt"/>
                    <a:ea typeface="+mn-ea"/>
                    <a:cs typeface="+mn-cs"/>
                  </a:rPr>
                  <a:t>Project Year</a:t>
                </a:r>
              </a:p>
            </c:rich>
          </c:tx>
          <c:layout>
            <c:manualLayout>
              <c:xMode val="edge"/>
              <c:yMode val="edge"/>
              <c:x val="0.45085113688973572"/>
              <c:y val="0.83226217191538576"/>
            </c:manualLayout>
          </c:layout>
          <c:overlay val="0"/>
          <c:spPr>
            <a:noFill/>
            <a:ln>
              <a:noFill/>
            </a:ln>
            <a:effectLst/>
          </c:spPr>
          <c:txPr>
            <a:bodyPr rot="0" spcFirstLastPara="1" vertOverflow="ellipsis" vert="horz" wrap="square" anchor="ctr" anchorCtr="1"/>
            <a:lstStyle/>
            <a:p>
              <a:pPr algn="ctr" rtl="0">
                <a:defRPr lang="en-GB" sz="1400" b="1" i="0" u="none" strike="noStrike" kern="1200" baseline="0">
                  <a:solidFill>
                    <a:sysClr val="windowText" lastClr="000000"/>
                  </a:solidFill>
                  <a:latin typeface="+mn-lt"/>
                  <a:ea typeface="+mn-ea"/>
                  <a:cs typeface="+mn-cs"/>
                </a:defRPr>
              </a:pPr>
              <a:endParaRPr lang="en-US"/>
            </a:p>
          </c:txPr>
        </c:title>
        <c:numFmt formatCode="_(#,##0_);\(#,##0\);_(&quot;-&quot;_);_(@_)" sourceLinked="1"/>
        <c:majorTickMark val="in"/>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102977920"/>
        <c:crosses val="autoZero"/>
        <c:auto val="1"/>
        <c:lblAlgn val="ctr"/>
        <c:lblOffset val="100"/>
        <c:noMultiLvlLbl val="0"/>
      </c:catAx>
      <c:valAx>
        <c:axId val="102977920"/>
        <c:scaling>
          <c:orientation val="minMax"/>
        </c:scaling>
        <c:delete val="0"/>
        <c:axPos val="l"/>
        <c:majorGridlines>
          <c:spPr>
            <a:ln w="9525" cap="flat" cmpd="sng" algn="ctr">
              <a:solidFill>
                <a:schemeClr val="bg1">
                  <a:lumMod val="95000"/>
                </a:schemeClr>
              </a:solidFill>
              <a:round/>
            </a:ln>
            <a:effectLst/>
          </c:spPr>
        </c:majorGridlines>
        <c:title>
          <c:tx>
            <c:rich>
              <a:bodyPr rot="-5400000" spcFirstLastPara="1" vertOverflow="ellipsis" vert="horz" wrap="square" anchor="ctr" anchorCtr="1"/>
              <a:lstStyle/>
              <a:p>
                <a:pPr algn="ctr" rtl="0">
                  <a:defRPr lang="en-GB" sz="1400" b="1" i="0" u="none" strike="noStrike" kern="1200" baseline="0">
                    <a:solidFill>
                      <a:sysClr val="windowText" lastClr="000000"/>
                    </a:solidFill>
                    <a:latin typeface="+mn-lt"/>
                    <a:ea typeface="+mn-ea"/>
                    <a:cs typeface="+mn-cs"/>
                  </a:defRPr>
                </a:pPr>
                <a:r>
                  <a:rPr lang="en-GB" sz="1400" b="1" i="0" u="none" strike="noStrike" kern="1200" baseline="0">
                    <a:solidFill>
                      <a:sysClr val="windowText" lastClr="000000"/>
                    </a:solidFill>
                    <a:latin typeface="+mn-lt"/>
                    <a:ea typeface="+mn-ea"/>
                    <a:cs typeface="+mn-cs"/>
                  </a:rPr>
                  <a:t>USD</a:t>
                </a:r>
              </a:p>
            </c:rich>
          </c:tx>
          <c:layout>
            <c:manualLayout>
              <c:xMode val="edge"/>
              <c:yMode val="edge"/>
              <c:x val="1.2388507701602961E-3"/>
              <c:y val="0.3366775267290858"/>
            </c:manualLayout>
          </c:layout>
          <c:overlay val="0"/>
          <c:spPr>
            <a:noFill/>
            <a:ln>
              <a:noFill/>
            </a:ln>
            <a:effectLst/>
          </c:spPr>
          <c:txPr>
            <a:bodyPr rot="-5400000" spcFirstLastPara="1" vertOverflow="ellipsis" vert="horz" wrap="square" anchor="ctr" anchorCtr="1"/>
            <a:lstStyle/>
            <a:p>
              <a:pPr algn="ctr" rtl="0">
                <a:defRPr lang="en-GB" sz="1400" b="1" i="0" u="none" strike="noStrike" kern="1200" baseline="0">
                  <a:solidFill>
                    <a:sysClr val="windowText" lastClr="000000"/>
                  </a:solidFill>
                  <a:latin typeface="+mn-lt"/>
                  <a:ea typeface="+mn-ea"/>
                  <a:cs typeface="+mn-cs"/>
                </a:defRPr>
              </a:pPr>
              <a:endParaRPr lang="en-US"/>
            </a:p>
          </c:txPr>
        </c:title>
        <c:numFmt formatCode="_-[$$-409]* #,##0_ ;_-[$$-409]* \-#,##0\ ;_-[$$-409]* &quot;-&quot;??_ ;_-@_ " sourceLinked="1"/>
        <c:majorTickMark val="none"/>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crossAx val="102967552"/>
        <c:crosses val="autoZero"/>
        <c:crossBetween val="between"/>
        <c:dispUnits>
          <c:builtInUnit val="thousands"/>
          <c:dispUnitsLbl>
            <c:layout>
              <c:manualLayout>
                <c:xMode val="edge"/>
                <c:yMode val="edge"/>
                <c:x val="2.9617388442214204E-3"/>
                <c:y val="8.6856504889829003E-2"/>
              </c:manualLayout>
            </c:layout>
            <c:spPr>
              <a:noFill/>
              <a:ln>
                <a:noFill/>
              </a:ln>
              <a:effectLst/>
            </c:spPr>
            <c:txPr>
              <a:bodyPr rot="-5400000" spcFirstLastPara="1" vertOverflow="ellipsis" vert="horz" wrap="square" anchor="ctr" anchorCtr="1"/>
              <a:lstStyle/>
              <a:p>
                <a:pPr algn="ctr" rtl="0">
                  <a:defRPr lang="en-GB" sz="9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legend>
      <c:legendPos val="b"/>
      <c:layout>
        <c:manualLayout>
          <c:xMode val="edge"/>
          <c:yMode val="edge"/>
          <c:x val="0.05"/>
          <c:y val="0.91241884509583615"/>
          <c:w val="0.9"/>
          <c:h val="8.05518810226209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lgn="ctr" rtl="0">
            <a:defRPr kumimoji="0" lang="en-US" sz="1600" b="1" i="0" u="none" strike="noStrike" kern="1200" cap="none" spc="0" normalizeH="0" baseline="0">
              <a:ln>
                <a:noFill/>
              </a:ln>
              <a:solidFill>
                <a:sysClr val="windowText" lastClr="000000">
                  <a:lumMod val="65000"/>
                  <a:lumOff val="35000"/>
                </a:sysClr>
              </a:solidFill>
              <a:effectLst/>
              <a:uLnTx/>
              <a:uFillTx/>
              <a:latin typeface="Calibri"/>
              <a:ea typeface="+mn-ea"/>
              <a:cs typeface="+mn-cs"/>
            </a:defRPr>
          </a:pPr>
          <a:endParaRPr lang="en-US"/>
        </a:p>
      </c:txPr>
    </c:title>
    <c:autoTitleDeleted val="0"/>
    <c:plotArea>
      <c:layout>
        <c:manualLayout>
          <c:layoutTarget val="inner"/>
          <c:xMode val="edge"/>
          <c:yMode val="edge"/>
          <c:x val="0.17879298609255925"/>
          <c:y val="0.17588267776350675"/>
          <c:w val="0.79232699667662687"/>
          <c:h val="0.67553985297333363"/>
        </c:manualLayout>
      </c:layout>
      <c:barChart>
        <c:barDir val="col"/>
        <c:grouping val="clustered"/>
        <c:varyColors val="0"/>
        <c:ser>
          <c:idx val="2"/>
          <c:order val="0"/>
          <c:tx>
            <c:strRef>
              <c:f>'Backend Finance'!$C$462</c:f>
              <c:strCache>
                <c:ptCount val="1"/>
                <c:pt idx="0">
                  <c:v>Cumulative Equity Cash Flow</c:v>
                </c:pt>
              </c:strCache>
            </c:strRef>
          </c:tx>
          <c:invertIfNegative val="0"/>
          <c:cat>
            <c:numRef>
              <c:f>'Backend Finance'!$H$1:$AG$1</c:f>
              <c:numCache>
                <c:formatCode>_(#,##0_);\(#,##0\);_("-"_);_(@_)</c:formatCode>
                <c:ptCount val="26"/>
                <c:pt idx="0" formatCode="0">
                  <c:v>0</c:v>
                </c:pt>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pt idx="16">
                  <c:v>16</c:v>
                </c:pt>
                <c:pt idx="17">
                  <c:v>17</c:v>
                </c:pt>
                <c:pt idx="18">
                  <c:v>18</c:v>
                </c:pt>
                <c:pt idx="19">
                  <c:v>19</c:v>
                </c:pt>
                <c:pt idx="20">
                  <c:v>20</c:v>
                </c:pt>
                <c:pt idx="21">
                  <c:v>21</c:v>
                </c:pt>
                <c:pt idx="22">
                  <c:v>22</c:v>
                </c:pt>
                <c:pt idx="23">
                  <c:v>23</c:v>
                </c:pt>
                <c:pt idx="24">
                  <c:v>24</c:v>
                </c:pt>
                <c:pt idx="25">
                  <c:v>25</c:v>
                </c:pt>
              </c:numCache>
            </c:numRef>
          </c:cat>
          <c:val>
            <c:numRef>
              <c:f>'Backend Finance'!$H$462:$AG$462</c:f>
              <c:numCache>
                <c:formatCode>[$$-409]#,##0</c:formatCode>
                <c:ptCount val="26"/>
                <c:pt idx="0">
                  <c:v>-31151.617857142857</c:v>
                </c:pt>
                <c:pt idx="1">
                  <c:v>-35745.485372117721</c:v>
                </c:pt>
                <c:pt idx="2">
                  <c:v>-40819.019740318108</c:v>
                </c:pt>
                <c:pt idx="3">
                  <c:v>-46409.861533315059</c:v>
                </c:pt>
                <c:pt idx="4">
                  <c:v>-52559.942947972646</c:v>
                </c:pt>
                <c:pt idx="5">
                  <c:v>-59315.997257747789</c:v>
                </c:pt>
                <c:pt idx="6">
                  <c:v>-58088.367334213028</c:v>
                </c:pt>
                <c:pt idx="7">
                  <c:v>-57058.424639076708</c:v>
                </c:pt>
                <c:pt idx="8">
                  <c:v>-56228.789477945058</c:v>
                </c:pt>
                <c:pt idx="9">
                  <c:v>-55602.142563170193</c:v>
                </c:pt>
                <c:pt idx="10">
                  <c:v>-55181.226173981762</c:v>
                </c:pt>
                <c:pt idx="11">
                  <c:v>-54968.845340108193</c:v>
                </c:pt>
                <c:pt idx="12">
                  <c:v>-54967.869049357178</c:v>
                </c:pt>
                <c:pt idx="13">
                  <c:v>-55181.231479632355</c:v>
                </c:pt>
                <c:pt idx="14">
                  <c:v>-55611.933255873184</c:v>
                </c:pt>
                <c:pt idx="15">
                  <c:v>-62368.121951578301</c:v>
                </c:pt>
                <c:pt idx="16">
                  <c:v>-63242.776520335588</c:v>
                </c:pt>
                <c:pt idx="17">
                  <c:v>-64344.183945840647</c:v>
                </c:pt>
                <c:pt idx="18">
                  <c:v>-65675.6237266362</c:v>
                </c:pt>
                <c:pt idx="19">
                  <c:v>-67240.448484587367</c:v>
                </c:pt>
                <c:pt idx="20">
                  <c:v>-69042.085382148027</c:v>
                </c:pt>
                <c:pt idx="21">
                  <c:v>-71084.037568243657</c:v>
                </c:pt>
                <c:pt idx="22">
                  <c:v>-73369.885653341466</c:v>
                </c:pt>
                <c:pt idx="23">
                  <c:v>-76906.426629608264</c:v>
                </c:pt>
                <c:pt idx="24">
                  <c:v>-80688.244335665804</c:v>
                </c:pt>
                <c:pt idx="25">
                  <c:v>-84719.197030648313</c:v>
                </c:pt>
              </c:numCache>
            </c:numRef>
          </c:val>
          <c:extLst>
            <c:ext xmlns:c16="http://schemas.microsoft.com/office/drawing/2014/chart" uri="{C3380CC4-5D6E-409C-BE32-E72D297353CC}">
              <c16:uniqueId val="{00000000-2CC3-498A-B576-0BC1D4D4B7D9}"/>
            </c:ext>
          </c:extLst>
        </c:ser>
        <c:dLbls>
          <c:showLegendKey val="0"/>
          <c:showVal val="0"/>
          <c:showCatName val="0"/>
          <c:showSerName val="0"/>
          <c:showPercent val="0"/>
          <c:showBubbleSize val="0"/>
        </c:dLbls>
        <c:gapWidth val="164"/>
        <c:overlap val="-22"/>
        <c:axId val="104882560"/>
        <c:axId val="104884096"/>
      </c:barChart>
      <c:catAx>
        <c:axId val="104882560"/>
        <c:scaling>
          <c:orientation val="minMax"/>
        </c:scaling>
        <c:delete val="0"/>
        <c:axPos val="b"/>
        <c:title>
          <c:tx>
            <c:rich>
              <a:bodyPr/>
              <a:lstStyle/>
              <a:p>
                <a:pPr>
                  <a:defRPr sz="1400"/>
                </a:pPr>
                <a:r>
                  <a:rPr lang="en-GB" sz="1400"/>
                  <a:t>Project Year</a:t>
                </a:r>
              </a:p>
            </c:rich>
          </c:tx>
          <c:layout>
            <c:manualLayout>
              <c:xMode val="edge"/>
              <c:yMode val="edge"/>
              <c:x val="0.50601704718526097"/>
              <c:y val="0.93083155442013132"/>
            </c:manualLayout>
          </c:layout>
          <c:overlay val="0"/>
        </c:title>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crossAx val="104884096"/>
        <c:crosses val="autoZero"/>
        <c:auto val="1"/>
        <c:lblAlgn val="ctr"/>
        <c:lblOffset val="100"/>
        <c:noMultiLvlLbl val="0"/>
      </c:catAx>
      <c:valAx>
        <c:axId val="104884096"/>
        <c:scaling>
          <c:orientation val="minMax"/>
        </c:scaling>
        <c:delete val="0"/>
        <c:axPos val="l"/>
        <c:majorGridlines>
          <c:spPr>
            <a:ln w="3175">
              <a:solidFill>
                <a:schemeClr val="bg1">
                  <a:lumMod val="95000"/>
                </a:schemeClr>
              </a:solidFill>
            </a:ln>
            <a:effectLst/>
          </c:spPr>
        </c:majorGridlines>
        <c:title>
          <c:tx>
            <c:rich>
              <a:bodyPr/>
              <a:lstStyle/>
              <a:p>
                <a:pPr>
                  <a:defRPr sz="1400" b="1"/>
                </a:pPr>
                <a:r>
                  <a:rPr lang="en-GB" sz="1400" b="1"/>
                  <a:t>USD</a:t>
                </a:r>
              </a:p>
            </c:rich>
          </c:tx>
          <c:layout>
            <c:manualLayout>
              <c:xMode val="edge"/>
              <c:yMode val="edge"/>
              <c:x val="2.4779359601505798E-3"/>
              <c:y val="0.32708592471175685"/>
            </c:manualLayout>
          </c:layout>
          <c:overlay val="0"/>
        </c:title>
        <c:numFmt formatCode="[$$-409]#,##0" sourceLinked="1"/>
        <c:majorTickMark val="none"/>
        <c:minorTickMark val="none"/>
        <c:tickLblPos val="nextTo"/>
        <c:spPr>
          <a:noFill/>
          <a:ln>
            <a:solidFill>
              <a:schemeClr val="bg1">
                <a:lumMod val="85000"/>
              </a:schemeClr>
            </a:solidFill>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US"/>
          </a:p>
        </c:txPr>
        <c:crossAx val="104882560"/>
        <c:crosses val="autoZero"/>
        <c:crossBetween val="between"/>
        <c:dispUnits>
          <c:builtInUnit val="thousands"/>
          <c:dispUnitsLbl>
            <c:layout>
              <c:manualLayout>
                <c:xMode val="edge"/>
                <c:yMode val="edge"/>
                <c:x val="9.9295727868167023E-4"/>
                <c:y val="8.1117309328515699E-2"/>
              </c:manualLayout>
            </c:layout>
            <c:txPr>
              <a:bodyPr/>
              <a:lstStyle/>
              <a:p>
                <a:pPr>
                  <a:defRPr sz="900"/>
                </a:pPr>
                <a:endParaRPr lang="en-US"/>
              </a:p>
            </c:txPr>
          </c:dispUnitsLbl>
        </c:dispUnits>
      </c:valAx>
    </c:plotArea>
    <c:plotVisOnly val="1"/>
    <c:dispBlanksAs val="gap"/>
    <c:showDLblsOverMax val="0"/>
  </c:chart>
  <c:spPr>
    <a:solidFill>
      <a:schemeClr val="bg1"/>
    </a:solidFill>
    <a:ln w="9525" cap="flat" cmpd="sng" algn="ctr">
      <a:solidFill>
        <a:schemeClr val="bg1">
          <a:lumMod val="85000"/>
        </a:schemeClr>
      </a:solidFill>
      <a:round/>
    </a:ln>
    <a:effectLst/>
  </c:spPr>
  <c:txPr>
    <a:bodyPr/>
    <a:lstStyle/>
    <a:p>
      <a:pPr>
        <a:defRPr/>
      </a:pPr>
      <a:endParaRPr lang="en-US"/>
    </a:p>
  </c:txPr>
  <c:printSettings>
    <c:headerFooter/>
    <c:pageMargins b="0.75000000000000022" l="0.70000000000000018" r="0.70000000000000018" t="0.75000000000000022" header="0.3000000000000001" footer="0.3000000000000001"/>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chart" Target="../charts/chart3.xml"/><Relationship Id="rId3" Type="http://schemas.openxmlformats.org/officeDocument/2006/relationships/image" Target="../media/image5.svg"/><Relationship Id="rId7" Type="http://schemas.openxmlformats.org/officeDocument/2006/relationships/image" Target="../media/image9.svg"/><Relationship Id="rId12" Type="http://schemas.openxmlformats.org/officeDocument/2006/relationships/chart" Target="../charts/chart2.xml"/><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chart" Target="../charts/chart1.xml"/><Relationship Id="rId5" Type="http://schemas.openxmlformats.org/officeDocument/2006/relationships/image" Target="../media/image7.svg"/><Relationship Id="rId10" Type="http://schemas.openxmlformats.org/officeDocument/2006/relationships/image" Target="../media/image1.png"/><Relationship Id="rId4" Type="http://schemas.openxmlformats.org/officeDocument/2006/relationships/image" Target="../media/image6.png"/><Relationship Id="rId9" Type="http://schemas.openxmlformats.org/officeDocument/2006/relationships/image" Target="../media/image11.sv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115730</xdr:rowOff>
    </xdr:from>
    <xdr:to>
      <xdr:col>3</xdr:col>
      <xdr:colOff>5668035</xdr:colOff>
      <xdr:row>0</xdr:row>
      <xdr:rowOff>1142999</xdr:rowOff>
    </xdr:to>
    <xdr:pic>
      <xdr:nvPicPr>
        <xdr:cNvPr id="8" name="Picture 7">
          <a:extLst>
            <a:ext uri="{FF2B5EF4-FFF2-40B4-BE49-F238E27FC236}">
              <a16:creationId xmlns:a16="http://schemas.microsoft.com/office/drawing/2014/main" id="{91862489-F76C-BA63-62CD-96556B75ABD7}"/>
            </a:ext>
          </a:extLst>
        </xdr:cNvPr>
        <xdr:cNvPicPr>
          <a:picLocks noChangeAspect="1"/>
        </xdr:cNvPicPr>
      </xdr:nvPicPr>
      <xdr:blipFill>
        <a:blip xmlns:r="http://schemas.openxmlformats.org/officeDocument/2006/relationships" r:embed="rId1"/>
        <a:stretch>
          <a:fillRect/>
        </a:stretch>
      </xdr:blipFill>
      <xdr:spPr>
        <a:xfrm>
          <a:off x="317500" y="115730"/>
          <a:ext cx="8009915" cy="10272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228600</xdr:colOff>
      <xdr:row>0</xdr:row>
      <xdr:rowOff>76200</xdr:rowOff>
    </xdr:from>
    <xdr:to>
      <xdr:col>4</xdr:col>
      <xdr:colOff>21590</xdr:colOff>
      <xdr:row>0</xdr:row>
      <xdr:rowOff>1006281</xdr:rowOff>
    </xdr:to>
    <xdr:pic>
      <xdr:nvPicPr>
        <xdr:cNvPr id="4" name="Picture 3">
          <a:extLst>
            <a:ext uri="{FF2B5EF4-FFF2-40B4-BE49-F238E27FC236}">
              <a16:creationId xmlns:a16="http://schemas.microsoft.com/office/drawing/2014/main" id="{62C7C93B-7017-638B-E6C4-201D13BE558C}"/>
            </a:ext>
          </a:extLst>
        </xdr:cNvPr>
        <xdr:cNvPicPr>
          <a:picLocks noChangeAspect="1"/>
        </xdr:cNvPicPr>
      </xdr:nvPicPr>
      <xdr:blipFill>
        <a:blip xmlns:r="http://schemas.openxmlformats.org/officeDocument/2006/relationships" r:embed="rId1"/>
        <a:stretch>
          <a:fillRect/>
        </a:stretch>
      </xdr:blipFill>
      <xdr:spPr>
        <a:xfrm>
          <a:off x="228600" y="76200"/>
          <a:ext cx="5976433" cy="9300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246014</xdr:colOff>
      <xdr:row>4</xdr:row>
      <xdr:rowOff>181396</xdr:rowOff>
    </xdr:from>
    <xdr:to>
      <xdr:col>20</xdr:col>
      <xdr:colOff>549765</xdr:colOff>
      <xdr:row>20</xdr:row>
      <xdr:rowOff>4553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82443" y="2086396"/>
          <a:ext cx="8149085" cy="5860175"/>
        </a:xfrm>
        <a:prstGeom prst="rect">
          <a:avLst/>
        </a:prstGeom>
        <a:ln>
          <a:solidFill>
            <a:schemeClr val="bg1">
              <a:lumMod val="85000"/>
            </a:schemeClr>
          </a:solidFill>
        </a:ln>
      </xdr:spPr>
    </xdr:pic>
    <xdr:clientData/>
  </xdr:twoCellAnchor>
  <xdr:twoCellAnchor editAs="oneCell">
    <xdr:from>
      <xdr:col>9</xdr:col>
      <xdr:colOff>142885</xdr:colOff>
      <xdr:row>8</xdr:row>
      <xdr:rowOff>45720</xdr:rowOff>
    </xdr:from>
    <xdr:to>
      <xdr:col>9</xdr:col>
      <xdr:colOff>438085</xdr:colOff>
      <xdr:row>8</xdr:row>
      <xdr:rowOff>355946</xdr:rowOff>
    </xdr:to>
    <xdr:pic>
      <xdr:nvPicPr>
        <xdr:cNvPr id="8" name="Graphic 7" descr="Information with solid fill">
          <a:extLst>
            <a:ext uri="{FF2B5EF4-FFF2-40B4-BE49-F238E27FC236}">
              <a16:creationId xmlns:a16="http://schemas.microsoft.com/office/drawing/2014/main" id="{00000000-0008-0000-0200-000008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537585" y="3550920"/>
          <a:ext cx="295200" cy="310226"/>
        </a:xfrm>
        <a:prstGeom prst="rect">
          <a:avLst/>
        </a:prstGeom>
      </xdr:spPr>
    </xdr:pic>
    <xdr:clientData/>
  </xdr:twoCellAnchor>
  <xdr:oneCellAnchor>
    <xdr:from>
      <xdr:col>9</xdr:col>
      <xdr:colOff>143627</xdr:colOff>
      <xdr:row>16</xdr:row>
      <xdr:rowOff>9049</xdr:rowOff>
    </xdr:from>
    <xdr:ext cx="293715" cy="293715"/>
    <xdr:pic>
      <xdr:nvPicPr>
        <xdr:cNvPr id="11" name="Graphic 10" descr="Home with solid fill">
          <a:extLst>
            <a:ext uri="{FF2B5EF4-FFF2-40B4-BE49-F238E27FC236}">
              <a16:creationId xmlns:a16="http://schemas.microsoft.com/office/drawing/2014/main" id="{00000000-0008-0000-0200-00000B000000}"/>
            </a:ext>
          </a:extLst>
        </xdr:cNvPr>
        <xdr:cNvPicPr>
          <a:picLocks/>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a:xfrm>
          <a:off x="7849352" y="5476399"/>
          <a:ext cx="293715" cy="293715"/>
        </a:xfrm>
        <a:prstGeom prst="rect">
          <a:avLst/>
        </a:prstGeom>
      </xdr:spPr>
    </xdr:pic>
    <xdr:clientData/>
  </xdr:oneCellAnchor>
  <xdr:oneCellAnchor>
    <xdr:from>
      <xdr:col>9</xdr:col>
      <xdr:colOff>108385</xdr:colOff>
      <xdr:row>21</xdr:row>
      <xdr:rowOff>952</xdr:rowOff>
    </xdr:from>
    <xdr:ext cx="293715" cy="293715"/>
    <xdr:pic>
      <xdr:nvPicPr>
        <xdr:cNvPr id="14" name="Graphic 13" descr="Solar Panels with solid fill">
          <a:extLst>
            <a:ext uri="{FF2B5EF4-FFF2-40B4-BE49-F238E27FC236}">
              <a16:creationId xmlns:a16="http://schemas.microsoft.com/office/drawing/2014/main" id="{00000000-0008-0000-0200-00000E000000}"/>
            </a:ext>
          </a:extLst>
        </xdr:cNvPr>
        <xdr:cNvPicPr>
          <a:picLocks/>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rcRect/>
        <a:stretch/>
      </xdr:blipFill>
      <xdr:spPr>
        <a:xfrm>
          <a:off x="8503085" y="8459152"/>
          <a:ext cx="293715" cy="293715"/>
        </a:xfrm>
        <a:prstGeom prst="rect">
          <a:avLst/>
        </a:prstGeom>
      </xdr:spPr>
    </xdr:pic>
    <xdr:clientData/>
  </xdr:oneCellAnchor>
  <xdr:oneCellAnchor>
    <xdr:from>
      <xdr:col>9</xdr:col>
      <xdr:colOff>136007</xdr:colOff>
      <xdr:row>26</xdr:row>
      <xdr:rowOff>8777</xdr:rowOff>
    </xdr:from>
    <xdr:ext cx="293715" cy="293715"/>
    <xdr:pic>
      <xdr:nvPicPr>
        <xdr:cNvPr id="35" name="Graphic 34" descr="Money with solid fill">
          <a:extLst>
            <a:ext uri="{FF2B5EF4-FFF2-40B4-BE49-F238E27FC236}">
              <a16:creationId xmlns:a16="http://schemas.microsoft.com/office/drawing/2014/main" id="{00000000-0008-0000-0200-000023000000}"/>
            </a:ext>
          </a:extLst>
        </xdr:cNvPr>
        <xdr:cNvPicPr>
          <a:picLocks/>
        </xdr:cNvPicPr>
      </xdr:nvPicPr>
      <xdr:blipFill>
        <a:blip xmlns:r="http://schemas.openxmlformats.org/officeDocument/2006/relationships" r:embed="rId8" cstate="print">
          <a:extLst>
            <a:ext uri="{28A0092B-C50C-407E-A947-70E740481C1C}">
              <a14:useLocalDpi xmlns:a14="http://schemas.microsoft.com/office/drawing/2010/main" val="0"/>
            </a:ext>
            <a:ext uri="{96DAC541-7B7A-43D3-8B79-37D633B846F1}">
              <asvg:svgBlip xmlns:asvg="http://schemas.microsoft.com/office/drawing/2016/SVG/main" r:embed="rId9"/>
            </a:ext>
          </a:extLst>
        </a:blip>
        <a:srcRect/>
        <a:stretch/>
      </xdr:blipFill>
      <xdr:spPr>
        <a:xfrm>
          <a:off x="7851257" y="8594884"/>
          <a:ext cx="293715" cy="293715"/>
        </a:xfrm>
        <a:prstGeom prst="rect">
          <a:avLst/>
        </a:prstGeom>
      </xdr:spPr>
    </xdr:pic>
    <xdr:clientData/>
  </xdr:oneCellAnchor>
  <xdr:twoCellAnchor editAs="oneCell">
    <xdr:from>
      <xdr:col>0</xdr:col>
      <xdr:colOff>253999</xdr:colOff>
      <xdr:row>0</xdr:row>
      <xdr:rowOff>85969</xdr:rowOff>
    </xdr:from>
    <xdr:to>
      <xdr:col>10</xdr:col>
      <xdr:colOff>21650</xdr:colOff>
      <xdr:row>1</xdr:row>
      <xdr:rowOff>968813</xdr:rowOff>
    </xdr:to>
    <xdr:pic>
      <xdr:nvPicPr>
        <xdr:cNvPr id="7" name="Picture 6">
          <a:extLst>
            <a:ext uri="{FF2B5EF4-FFF2-40B4-BE49-F238E27FC236}">
              <a16:creationId xmlns:a16="http://schemas.microsoft.com/office/drawing/2014/main" id="{4999CC47-17B2-5F40-8E36-A9619BC7AE15}"/>
            </a:ext>
          </a:extLst>
        </xdr:cNvPr>
        <xdr:cNvPicPr>
          <a:picLocks noChangeAspect="1"/>
        </xdr:cNvPicPr>
      </xdr:nvPicPr>
      <xdr:blipFill>
        <a:blip xmlns:r="http://schemas.openxmlformats.org/officeDocument/2006/relationships" r:embed="rId10"/>
        <a:stretch>
          <a:fillRect/>
        </a:stretch>
      </xdr:blipFill>
      <xdr:spPr>
        <a:xfrm>
          <a:off x="253999" y="85969"/>
          <a:ext cx="8897681" cy="1138114"/>
        </a:xfrm>
        <a:prstGeom prst="rect">
          <a:avLst/>
        </a:prstGeom>
      </xdr:spPr>
    </xdr:pic>
    <xdr:clientData/>
  </xdr:twoCellAnchor>
  <xdr:twoCellAnchor editAs="oneCell">
    <xdr:from>
      <xdr:col>12</xdr:col>
      <xdr:colOff>120649</xdr:colOff>
      <xdr:row>0</xdr:row>
      <xdr:rowOff>114300</xdr:rowOff>
    </xdr:from>
    <xdr:to>
      <xdr:col>20</xdr:col>
      <xdr:colOff>478850</xdr:colOff>
      <xdr:row>1</xdr:row>
      <xdr:rowOff>974284</xdr:rowOff>
    </xdr:to>
    <xdr:pic>
      <xdr:nvPicPr>
        <xdr:cNvPr id="2" name="Picture 1">
          <a:extLst>
            <a:ext uri="{FF2B5EF4-FFF2-40B4-BE49-F238E27FC236}">
              <a16:creationId xmlns:a16="http://schemas.microsoft.com/office/drawing/2014/main" id="{798787FC-C282-47A5-85FE-142167AC816D}"/>
            </a:ext>
          </a:extLst>
        </xdr:cNvPr>
        <xdr:cNvPicPr>
          <a:picLocks noChangeAspect="1"/>
        </xdr:cNvPicPr>
      </xdr:nvPicPr>
      <xdr:blipFill>
        <a:blip xmlns:r="http://schemas.openxmlformats.org/officeDocument/2006/relationships" r:embed="rId10"/>
        <a:stretch>
          <a:fillRect/>
        </a:stretch>
      </xdr:blipFill>
      <xdr:spPr>
        <a:xfrm>
          <a:off x="8769349" y="114300"/>
          <a:ext cx="7932481" cy="1138114"/>
        </a:xfrm>
        <a:prstGeom prst="rect">
          <a:avLst/>
        </a:prstGeom>
      </xdr:spPr>
    </xdr:pic>
    <xdr:clientData/>
  </xdr:twoCellAnchor>
  <xdr:twoCellAnchor editAs="oneCell">
    <xdr:from>
      <xdr:col>23</xdr:col>
      <xdr:colOff>101599</xdr:colOff>
      <xdr:row>0</xdr:row>
      <xdr:rowOff>133350</xdr:rowOff>
    </xdr:from>
    <xdr:to>
      <xdr:col>31</xdr:col>
      <xdr:colOff>95945</xdr:colOff>
      <xdr:row>2</xdr:row>
      <xdr:rowOff>19879</xdr:rowOff>
    </xdr:to>
    <xdr:pic>
      <xdr:nvPicPr>
        <xdr:cNvPr id="4" name="Picture 3">
          <a:extLst>
            <a:ext uri="{FF2B5EF4-FFF2-40B4-BE49-F238E27FC236}">
              <a16:creationId xmlns:a16="http://schemas.microsoft.com/office/drawing/2014/main" id="{12FD4FE2-03BC-48A6-A8C6-AEDAF7FEEB37}"/>
            </a:ext>
          </a:extLst>
        </xdr:cNvPr>
        <xdr:cNvPicPr>
          <a:picLocks noChangeAspect="1"/>
        </xdr:cNvPicPr>
      </xdr:nvPicPr>
      <xdr:blipFill>
        <a:blip xmlns:r="http://schemas.openxmlformats.org/officeDocument/2006/relationships" r:embed="rId10"/>
        <a:stretch>
          <a:fillRect/>
        </a:stretch>
      </xdr:blipFill>
      <xdr:spPr>
        <a:xfrm>
          <a:off x="17830799" y="133350"/>
          <a:ext cx="8109646" cy="1169229"/>
        </a:xfrm>
        <a:prstGeom prst="rect">
          <a:avLst/>
        </a:prstGeom>
      </xdr:spPr>
    </xdr:pic>
    <xdr:clientData/>
  </xdr:twoCellAnchor>
  <xdr:oneCellAnchor>
    <xdr:from>
      <xdr:col>33</xdr:col>
      <xdr:colOff>101599</xdr:colOff>
      <xdr:row>0</xdr:row>
      <xdr:rowOff>133350</xdr:rowOff>
    </xdr:from>
    <xdr:ext cx="7905811" cy="1152402"/>
    <xdr:pic>
      <xdr:nvPicPr>
        <xdr:cNvPr id="6" name="Picture 5">
          <a:extLst>
            <a:ext uri="{FF2B5EF4-FFF2-40B4-BE49-F238E27FC236}">
              <a16:creationId xmlns:a16="http://schemas.microsoft.com/office/drawing/2014/main" id="{12AB3ACF-F846-4AA6-987B-33E7E246090F}"/>
            </a:ext>
          </a:extLst>
        </xdr:cNvPr>
        <xdr:cNvPicPr>
          <a:picLocks noChangeAspect="1"/>
        </xdr:cNvPicPr>
      </xdr:nvPicPr>
      <xdr:blipFill>
        <a:blip xmlns:r="http://schemas.openxmlformats.org/officeDocument/2006/relationships" r:embed="rId10"/>
        <a:stretch>
          <a:fillRect/>
        </a:stretch>
      </xdr:blipFill>
      <xdr:spPr>
        <a:xfrm>
          <a:off x="25940326" y="133350"/>
          <a:ext cx="7905811" cy="1152402"/>
        </a:xfrm>
        <a:prstGeom prst="rect">
          <a:avLst/>
        </a:prstGeom>
      </xdr:spPr>
    </xdr:pic>
    <xdr:clientData/>
  </xdr:oneCellAnchor>
  <xdr:twoCellAnchor>
    <xdr:from>
      <xdr:col>39</xdr:col>
      <xdr:colOff>0</xdr:colOff>
      <xdr:row>4</xdr:row>
      <xdr:rowOff>-1</xdr:rowOff>
    </xdr:from>
    <xdr:to>
      <xdr:col>41</xdr:col>
      <xdr:colOff>845127</xdr:colOff>
      <xdr:row>10</xdr:row>
      <xdr:rowOff>290946</xdr:rowOff>
    </xdr:to>
    <xdr:graphicFrame macro="">
      <xdr:nvGraphicFramePr>
        <xdr:cNvPr id="25" name="Chart 24">
          <a:extLst>
            <a:ext uri="{FF2B5EF4-FFF2-40B4-BE49-F238E27FC236}">
              <a16:creationId xmlns:a16="http://schemas.microsoft.com/office/drawing/2014/main" id="{95424B7A-FFF9-52C4-4B33-D72608B3932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34</xdr:col>
      <xdr:colOff>152399</xdr:colOff>
      <xdr:row>10</xdr:row>
      <xdr:rowOff>295151</xdr:rowOff>
    </xdr:from>
    <xdr:to>
      <xdr:col>37</xdr:col>
      <xdr:colOff>838197</xdr:colOff>
      <xdr:row>22</xdr:row>
      <xdr:rowOff>0</xdr:rowOff>
    </xdr:to>
    <xdr:graphicFrame macro="">
      <xdr:nvGraphicFramePr>
        <xdr:cNvPr id="28" name="Chart 15">
          <a:extLst>
            <a:ext uri="{FF2B5EF4-FFF2-40B4-BE49-F238E27FC236}">
              <a16:creationId xmlns:a16="http://schemas.microsoft.com/office/drawing/2014/main" id="{90E553BB-1ADC-410B-8AE2-FC46A7D5F5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39</xdr:col>
      <xdr:colOff>0</xdr:colOff>
      <xdr:row>10</xdr:row>
      <xdr:rowOff>296883</xdr:rowOff>
    </xdr:from>
    <xdr:to>
      <xdr:col>41</xdr:col>
      <xdr:colOff>845127</xdr:colOff>
      <xdr:row>22</xdr:row>
      <xdr:rowOff>13856</xdr:rowOff>
    </xdr:to>
    <xdr:graphicFrame macro="">
      <xdr:nvGraphicFramePr>
        <xdr:cNvPr id="29" name="Chart 16">
          <a:extLst>
            <a:ext uri="{FF2B5EF4-FFF2-40B4-BE49-F238E27FC236}">
              <a16:creationId xmlns:a16="http://schemas.microsoft.com/office/drawing/2014/main" id="{B21E9507-C674-449C-A10E-192E1761A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Nipun Regmi" id="{A7BF25AA-D792-4576-A4BA-855F771E1C2F}" userId="Nipun Regmi" providerId="None"/>
  <person displayName="Muhammad Imran" id="{4DB518E7-6452-4727-81F0-786AD0B953C6}" userId="Muhammad Imran" providerId="None"/>
  <person displayName="Nipun Regmi" id="{4C5A4007-A45D-45BC-9B80-13EA22941461}" userId="040fe31b70f9004e"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79" dT="2020-07-28T11:26:06.09" personId="{4DB518E7-6452-4727-81F0-786AD0B953C6}" id="{D1ABD2B8-3BDB-4BBF-A5A8-0D083C1B6F84}">
    <text>Is project development cost also to be depreciated?</text>
  </threadedComment>
</ThreadedComments>
</file>

<file path=xl/threadedComments/threadedComment2.xml><?xml version="1.0" encoding="utf-8"?>
<ThreadedComments xmlns="http://schemas.microsoft.com/office/spreadsheetml/2018/threadedcomments" xmlns:x="http://schemas.openxmlformats.org/spreadsheetml/2006/main">
  <threadedComment ref="B16" dT="2023-02-24T05:08:56.26" personId="{4C5A4007-A45D-45BC-9B80-13EA22941461}" id="{44B047F7-A23E-404A-AF46-1B42813091A9}">
    <text>Review once again-NR</text>
  </threadedComment>
  <threadedComment ref="D40" personId="{A7BF25AA-D792-4576-A4BA-855F771E1C2F}" id="{B310EC98-6275-4D72-8BED-3A38621D2D78}">
    <text xml:space="preserve">Distance taken as 10 meters for each inverter
</text>
  </threadedComment>
</ThreadedComments>
</file>

<file path=xl/threadedComments/threadedComment3.xml><?xml version="1.0" encoding="utf-8"?>
<ThreadedComments xmlns="http://schemas.microsoft.com/office/spreadsheetml/2018/threadedcomments" xmlns:x="http://schemas.openxmlformats.org/spreadsheetml/2006/main">
  <threadedComment ref="E49" personId="{A7BF25AA-D792-4576-A4BA-855F771E1C2F}" id="{9D586481-03ED-4D3F-AE40-1AB226A2F25A}">
    <text xml:space="preserve">Assuming all the modules are connected in series for  a string
</text>
  </threadedComment>
  <threadedComment ref="E54" personId="{A7BF25AA-D792-4576-A4BA-855F771E1C2F}" id="{EE8CE91A-15E9-483B-AB41-78330CB4406D}">
    <text>Designer may choose any other value depending upon the requirement. This is the standard value used.</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CC22A-AA29-4A6F-BFAB-DE607C472462}">
  <sheetPr codeName="Sheet1">
    <tabColor rgb="FFC10000"/>
  </sheetPr>
  <dimension ref="B1:L56"/>
  <sheetViews>
    <sheetView tabSelected="1" zoomScale="90" zoomScaleNormal="90" zoomScaleSheetLayoutView="20" workbookViewId="0">
      <selection activeCell="A3" sqref="A3"/>
    </sheetView>
  </sheetViews>
  <sheetFormatPr defaultColWidth="9.1796875" defaultRowHeight="13.5" thickBottom="1"/>
  <cols>
    <col min="1" max="1" width="5" style="13" customWidth="1"/>
    <col min="2" max="2" width="18.453125" style="13" customWidth="1"/>
    <col min="3" max="3" width="3.453125" style="13" customWidth="1"/>
    <col min="4" max="4" width="82.453125" style="36" customWidth="1"/>
    <col min="5" max="5" width="3.453125" style="13" customWidth="1"/>
    <col min="6" max="6" width="87.453125" style="13" customWidth="1"/>
    <col min="7" max="16384" width="9.1796875" style="13"/>
  </cols>
  <sheetData>
    <row r="1" spans="2:8" ht="96" customHeight="1" thickBot="1"/>
    <row r="2" spans="2:8" ht="35" customHeight="1" thickBot="1">
      <c r="B2" s="573" t="s">
        <v>193</v>
      </c>
      <c r="C2" s="573"/>
      <c r="D2" s="573"/>
      <c r="F2" s="416" t="s">
        <v>596</v>
      </c>
      <c r="G2" s="420"/>
      <c r="H2" s="420"/>
    </row>
    <row r="3" spans="2:8" ht="15" customHeight="1" thickBot="1">
      <c r="B3" s="15"/>
      <c r="C3" s="15"/>
      <c r="D3" s="37"/>
    </row>
    <row r="4" spans="2:8" s="14" customFormat="1" ht="30" customHeight="1" thickBot="1">
      <c r="B4" s="12" t="s">
        <v>695</v>
      </c>
      <c r="C4" s="11"/>
      <c r="D4" s="477">
        <v>1.1000000000000001</v>
      </c>
    </row>
    <row r="5" spans="2:8" s="14" customFormat="1" ht="30" customHeight="1" thickBot="1">
      <c r="B5" s="12" t="s">
        <v>696</v>
      </c>
      <c r="C5" s="11"/>
      <c r="D5" s="38" t="s">
        <v>0</v>
      </c>
    </row>
    <row r="6" spans="2:8" s="14" customFormat="1" ht="20.25" customHeight="1" thickBot="1">
      <c r="D6" s="36"/>
    </row>
    <row r="7" spans="2:8" s="14" customFormat="1" ht="40.5" customHeight="1" thickBot="1">
      <c r="B7" s="574" t="s">
        <v>1</v>
      </c>
      <c r="C7" s="11">
        <v>1</v>
      </c>
      <c r="D7" s="38" t="s">
        <v>200</v>
      </c>
      <c r="F7" s="38" t="s">
        <v>217</v>
      </c>
    </row>
    <row r="8" spans="2:8" s="14" customFormat="1" ht="40.5" customHeight="1" thickBot="1">
      <c r="B8" s="574"/>
      <c r="C8" s="11">
        <v>2</v>
      </c>
      <c r="D8" s="38" t="s">
        <v>194</v>
      </c>
      <c r="F8" s="38" t="s">
        <v>218</v>
      </c>
    </row>
    <row r="9" spans="2:8" s="14" customFormat="1" ht="40.5" customHeight="1" thickBot="1">
      <c r="B9" s="574"/>
      <c r="C9" s="11">
        <v>3</v>
      </c>
      <c r="D9" s="38" t="s">
        <v>195</v>
      </c>
      <c r="F9" s="38" t="s">
        <v>219</v>
      </c>
    </row>
    <row r="10" spans="2:8" s="14" customFormat="1" ht="40.5" customHeight="1" thickBot="1">
      <c r="B10" s="574"/>
      <c r="C10" s="11">
        <v>4</v>
      </c>
      <c r="D10" s="38" t="s">
        <v>196</v>
      </c>
      <c r="F10" s="38" t="s">
        <v>220</v>
      </c>
    </row>
    <row r="11" spans="2:8" s="14" customFormat="1" ht="20.25" customHeight="1" thickBot="1">
      <c r="D11" s="36"/>
      <c r="F11" s="36"/>
    </row>
    <row r="12" spans="2:8" s="14" customFormat="1" ht="48" customHeight="1" thickBot="1">
      <c r="B12" s="574" t="s">
        <v>2</v>
      </c>
      <c r="C12" s="11">
        <v>1</v>
      </c>
      <c r="D12" s="38" t="s">
        <v>197</v>
      </c>
      <c r="F12" s="75" t="s">
        <v>221</v>
      </c>
    </row>
    <row r="13" spans="2:8" s="14" customFormat="1" ht="44.25" customHeight="1" thickBot="1">
      <c r="B13" s="574"/>
      <c r="C13" s="11">
        <v>2</v>
      </c>
      <c r="D13" s="38" t="s">
        <v>198</v>
      </c>
      <c r="F13" s="38" t="s">
        <v>222</v>
      </c>
    </row>
    <row r="14" spans="2:8" s="14" customFormat="1" ht="40.5" customHeight="1" thickBot="1">
      <c r="B14" s="574"/>
      <c r="C14" s="11">
        <v>3</v>
      </c>
      <c r="D14" s="38" t="s">
        <v>199</v>
      </c>
      <c r="F14" s="38" t="s">
        <v>223</v>
      </c>
    </row>
    <row r="15" spans="2:8" s="14" customFormat="1" ht="20.25" customHeight="1" thickBot="1">
      <c r="C15" s="16"/>
      <c r="D15" s="36"/>
      <c r="F15" s="36"/>
    </row>
    <row r="16" spans="2:8" s="14" customFormat="1" ht="30" customHeight="1" thickBot="1">
      <c r="B16" s="574" t="s">
        <v>3</v>
      </c>
      <c r="C16" s="11">
        <v>1</v>
      </c>
      <c r="D16" s="38" t="s">
        <v>203</v>
      </c>
      <c r="F16" s="38" t="s">
        <v>246</v>
      </c>
    </row>
    <row r="17" spans="2:12" s="14" customFormat="1" ht="30" customHeight="1" thickBot="1">
      <c r="B17" s="574"/>
      <c r="C17" s="11">
        <v>2</v>
      </c>
      <c r="D17" s="38" t="s">
        <v>206</v>
      </c>
      <c r="F17" s="38" t="s">
        <v>224</v>
      </c>
    </row>
    <row r="18" spans="2:12" s="14" customFormat="1" ht="30" customHeight="1" thickBot="1">
      <c r="B18" s="574"/>
      <c r="C18" s="11">
        <v>3</v>
      </c>
      <c r="D18" s="38" t="s">
        <v>204</v>
      </c>
      <c r="F18" s="38" t="s">
        <v>225</v>
      </c>
    </row>
    <row r="19" spans="2:12" s="14" customFormat="1" ht="30" customHeight="1" thickBot="1">
      <c r="B19" s="574"/>
      <c r="C19" s="11">
        <v>4</v>
      </c>
      <c r="D19" s="38" t="s">
        <v>205</v>
      </c>
      <c r="F19" s="38" t="s">
        <v>226</v>
      </c>
    </row>
    <row r="20" spans="2:12" s="14" customFormat="1" ht="20.25" customHeight="1" thickBot="1">
      <c r="C20" s="16"/>
      <c r="D20" s="36"/>
    </row>
    <row r="21" spans="2:12" s="14" customFormat="1" ht="30" customHeight="1" thickBot="1">
      <c r="B21" s="574" t="s">
        <v>207</v>
      </c>
      <c r="C21" s="11">
        <v>1</v>
      </c>
      <c r="D21" s="39" t="s">
        <v>227</v>
      </c>
      <c r="F21" s="39" t="s">
        <v>228</v>
      </c>
    </row>
    <row r="22" spans="2:12" s="14" customFormat="1" ht="30" customHeight="1" thickBot="1">
      <c r="B22" s="574"/>
      <c r="C22" s="11">
        <v>2</v>
      </c>
      <c r="D22" s="40" t="s">
        <v>201</v>
      </c>
      <c r="F22" s="40" t="s">
        <v>693</v>
      </c>
    </row>
    <row r="23" spans="2:12" s="14" customFormat="1" ht="30" customHeight="1" thickBot="1">
      <c r="B23" s="574"/>
      <c r="C23" s="11">
        <v>3</v>
      </c>
      <c r="D23" s="504" t="s">
        <v>702</v>
      </c>
      <c r="F23" s="504" t="s">
        <v>708</v>
      </c>
    </row>
    <row r="24" spans="2:12" s="14" customFormat="1" ht="30" customHeight="1" thickBot="1">
      <c r="B24" s="574"/>
      <c r="C24" s="11">
        <v>4</v>
      </c>
      <c r="D24" s="38" t="s">
        <v>202</v>
      </c>
      <c r="F24" s="38" t="s">
        <v>694</v>
      </c>
    </row>
    <row r="25" spans="2:12" ht="15" customHeight="1" thickBot="1">
      <c r="B25" s="17"/>
      <c r="C25" s="17"/>
      <c r="D25" s="41"/>
    </row>
    <row r="26" spans="2:12" ht="16" customHeight="1" thickBot="1">
      <c r="B26" s="423"/>
      <c r="C26" s="423"/>
      <c r="D26" s="424"/>
      <c r="G26" s="474"/>
      <c r="H26" s="474"/>
      <c r="I26" s="474"/>
      <c r="J26" s="474"/>
      <c r="K26" s="474"/>
      <c r="L26" s="475"/>
    </row>
    <row r="27" spans="2:12" ht="16" customHeight="1" thickBot="1">
      <c r="B27" s="426"/>
      <c r="C27" s="426"/>
      <c r="D27" s="427"/>
      <c r="G27" s="14"/>
      <c r="H27" s="14"/>
      <c r="I27" s="14"/>
      <c r="J27" s="14"/>
      <c r="K27" s="14"/>
    </row>
    <row r="28" spans="2:12" ht="51" customHeight="1" thickBot="1">
      <c r="B28" s="572" t="s">
        <v>648</v>
      </c>
      <c r="C28" s="572"/>
      <c r="D28" s="572"/>
    </row>
    <row r="29" spans="2:12" ht="13" customHeight="1" thickBot="1">
      <c r="B29" s="428"/>
      <c r="C29" s="428"/>
      <c r="D29" s="425"/>
    </row>
    <row r="30" spans="2:12" ht="13" customHeight="1" thickBot="1">
      <c r="B30" s="428" t="s">
        <v>630</v>
      </c>
      <c r="C30" s="429"/>
      <c r="D30" s="429"/>
    </row>
    <row r="31" spans="2:12" ht="13" customHeight="1" thickBot="1">
      <c r="B31" s="428" t="s">
        <v>631</v>
      </c>
      <c r="C31" s="428"/>
      <c r="D31" s="425"/>
      <c r="F31" s="18"/>
    </row>
    <row r="32" spans="2:12" ht="13" customHeight="1" thickBot="1">
      <c r="B32" s="428" t="s">
        <v>644</v>
      </c>
      <c r="C32" s="428"/>
      <c r="D32" s="425"/>
    </row>
    <row r="33" spans="2:4" ht="13" customHeight="1" thickBot="1">
      <c r="B33" s="430" t="s">
        <v>645</v>
      </c>
      <c r="C33" s="428"/>
      <c r="D33" s="425"/>
    </row>
    <row r="34" spans="2:4" ht="13" customHeight="1" thickBot="1">
      <c r="B34" s="428" t="s">
        <v>632</v>
      </c>
      <c r="C34" s="428"/>
      <c r="D34" s="425"/>
    </row>
    <row r="35" spans="2:4" ht="13" customHeight="1" thickBot="1">
      <c r="B35" s="428" t="s">
        <v>633</v>
      </c>
      <c r="C35" s="428"/>
      <c r="D35" s="425"/>
    </row>
    <row r="36" spans="2:4" ht="13" customHeight="1" thickBot="1">
      <c r="B36" s="428" t="s">
        <v>634</v>
      </c>
      <c r="C36" s="428"/>
      <c r="D36" s="425"/>
    </row>
    <row r="37" spans="2:4" ht="13" customHeight="1" thickBot="1">
      <c r="B37" s="428"/>
      <c r="C37" s="431"/>
      <c r="D37" s="425"/>
    </row>
    <row r="38" spans="2:4" ht="13" customHeight="1" thickBot="1">
      <c r="B38" s="428" t="s">
        <v>635</v>
      </c>
      <c r="C38" s="432"/>
      <c r="D38" s="425"/>
    </row>
    <row r="39" spans="2:4" ht="13" customHeight="1" thickBot="1">
      <c r="B39" s="430" t="s">
        <v>646</v>
      </c>
      <c r="C39" s="425"/>
      <c r="D39" s="425"/>
    </row>
    <row r="40" spans="2:4" ht="13" customHeight="1" thickBot="1">
      <c r="B40" s="428" t="s">
        <v>647</v>
      </c>
      <c r="C40" s="425"/>
      <c r="D40" s="425"/>
    </row>
    <row r="41" spans="2:4" ht="13" customHeight="1" thickBot="1">
      <c r="B41" s="428" t="s">
        <v>636</v>
      </c>
      <c r="C41" s="428"/>
      <c r="D41" s="425"/>
    </row>
    <row r="42" spans="2:4" ht="13" customHeight="1" thickBot="1">
      <c r="B42" s="428" t="s">
        <v>637</v>
      </c>
      <c r="C42" s="428"/>
      <c r="D42" s="425"/>
    </row>
    <row r="43" spans="2:4" ht="13" customHeight="1" thickBot="1">
      <c r="B43" s="428" t="s">
        <v>638</v>
      </c>
      <c r="C43" s="428"/>
      <c r="D43" s="425"/>
    </row>
    <row r="44" spans="2:4" ht="13" customHeight="1" thickBot="1">
      <c r="B44" s="428"/>
      <c r="C44" s="428"/>
      <c r="D44" s="425"/>
    </row>
    <row r="45" spans="2:4" ht="13" customHeight="1" thickBot="1">
      <c r="B45" s="428" t="s">
        <v>639</v>
      </c>
      <c r="C45" s="428"/>
      <c r="D45" s="425"/>
    </row>
    <row r="46" spans="2:4" ht="13" customHeight="1" thickBot="1">
      <c r="B46" s="430" t="s">
        <v>640</v>
      </c>
      <c r="C46" s="428"/>
      <c r="D46" s="425"/>
    </row>
    <row r="47" spans="2:4" ht="13" customHeight="1" thickBot="1">
      <c r="B47" s="428" t="s">
        <v>641</v>
      </c>
      <c r="C47" s="428"/>
      <c r="D47" s="425"/>
    </row>
    <row r="48" spans="2:4" ht="13" customHeight="1" thickBot="1">
      <c r="B48" s="428" t="s">
        <v>642</v>
      </c>
      <c r="C48" s="428"/>
      <c r="D48" s="425"/>
    </row>
    <row r="49" spans="2:4" ht="13" customHeight="1" thickBot="1">
      <c r="B49" s="428" t="s">
        <v>643</v>
      </c>
      <c r="C49" s="428"/>
      <c r="D49" s="425"/>
    </row>
    <row r="50" spans="2:4" ht="13" customHeight="1" thickBot="1">
      <c r="B50" s="428"/>
      <c r="C50" s="428"/>
      <c r="D50" s="425"/>
    </row>
    <row r="51" spans="2:4" ht="13" customHeight="1" thickBot="1">
      <c r="B51" s="570" t="s">
        <v>717</v>
      </c>
      <c r="C51" s="428"/>
      <c r="D51" s="425"/>
    </row>
    <row r="52" spans="2:4" ht="13" customHeight="1" thickBot="1">
      <c r="B52" s="428"/>
      <c r="C52" s="428"/>
      <c r="D52" s="425"/>
    </row>
    <row r="53" spans="2:4" thickBot="1">
      <c r="D53" s="13"/>
    </row>
    <row r="55" spans="2:4" thickBot="1">
      <c r="B55" s="481" t="s">
        <v>683</v>
      </c>
    </row>
    <row r="56" spans="2:4" thickBot="1">
      <c r="B56" s="571" t="s">
        <v>684</v>
      </c>
    </row>
  </sheetData>
  <sheetProtection algorithmName="SHA-512" hashValue="Js3eXhJiBzE1qATASsPi3YJpIFvXonRUYyJEjUyJ5OmgF6nKWHUn6dMRg151A1YHYJBPusFHPprXSbKsOMnHag==" saltValue="MxN7PeXlNGfRxgzWN9YUjw==" spinCount="100000" sheet="1" objects="1" scenarios="1" formatCells="0"/>
  <mergeCells count="6">
    <mergeCell ref="B28:D28"/>
    <mergeCell ref="B2:D2"/>
    <mergeCell ref="B16:B19"/>
    <mergeCell ref="B21:B24"/>
    <mergeCell ref="B7:B10"/>
    <mergeCell ref="B12:B14"/>
  </mergeCells>
  <pageMargins left="0.7" right="0.7" top="0.75" bottom="0.75" header="0.3" footer="0.3"/>
  <pageSetup scale="74" orientation="portrait" r:id="rId1"/>
  <colBreaks count="1" manualBreakCount="1">
    <brk id="4" max="2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rgb="FFC10000"/>
  </sheetPr>
  <dimension ref="B1:O52"/>
  <sheetViews>
    <sheetView zoomScale="90" zoomScaleNormal="90" zoomScaleSheetLayoutView="20" workbookViewId="0">
      <selection activeCell="A3" sqref="A3"/>
    </sheetView>
  </sheetViews>
  <sheetFormatPr defaultColWidth="8.453125" defaultRowHeight="13" thickBottom="1"/>
  <cols>
    <col min="1" max="2" width="3.453125" style="19" customWidth="1"/>
    <col min="3" max="3" width="40.453125" style="33" customWidth="1"/>
    <col min="4" max="4" width="40.453125" style="20" customWidth="1"/>
    <col min="5" max="5" width="3.453125" style="20" customWidth="1"/>
    <col min="6" max="6" width="75.453125" style="96" customWidth="1"/>
    <col min="7" max="7" width="3.453125" style="19" customWidth="1"/>
    <col min="8" max="8" width="75.453125" style="19" customWidth="1"/>
    <col min="9" max="9" width="32.453125" style="19" bestFit="1" customWidth="1"/>
    <col min="10" max="16384" width="8.453125" style="19"/>
  </cols>
  <sheetData>
    <row r="1" spans="2:8" ht="84" customHeight="1" thickBot="1">
      <c r="C1" s="32"/>
      <c r="D1" s="13"/>
      <c r="E1" s="13"/>
      <c r="F1" s="93"/>
    </row>
    <row r="2" spans="2:8" ht="35" customHeight="1" thickBot="1">
      <c r="B2" s="575" t="s">
        <v>120</v>
      </c>
      <c r="C2" s="576"/>
      <c r="D2" s="577"/>
      <c r="F2" s="12" t="s">
        <v>593</v>
      </c>
      <c r="G2" s="20"/>
      <c r="H2" s="20"/>
    </row>
    <row r="3" spans="2:8" ht="20.25" customHeight="1" thickBot="1">
      <c r="F3" s="92"/>
      <c r="G3" s="20"/>
      <c r="H3" s="20"/>
    </row>
    <row r="4" spans="2:8" ht="30" customHeight="1" thickBot="1">
      <c r="B4" s="90"/>
      <c r="C4" s="574" t="s">
        <v>208</v>
      </c>
      <c r="D4" s="574"/>
      <c r="F4" s="12" t="s">
        <v>589</v>
      </c>
    </row>
    <row r="5" spans="2:8" ht="30" customHeight="1" thickBot="1">
      <c r="B5" s="27"/>
      <c r="C5" s="34" t="s">
        <v>4</v>
      </c>
      <c r="D5" s="98" t="s">
        <v>718</v>
      </c>
      <c r="F5" s="85" t="s">
        <v>579</v>
      </c>
    </row>
    <row r="6" spans="2:8" ht="30" customHeight="1" thickBot="1">
      <c r="B6" s="27"/>
      <c r="C6" s="34" t="s">
        <v>6</v>
      </c>
      <c r="D6" s="98">
        <v>12</v>
      </c>
      <c r="F6" s="85" t="s">
        <v>580</v>
      </c>
    </row>
    <row r="7" spans="2:8" ht="30" customHeight="1" thickBot="1">
      <c r="B7" s="27"/>
      <c r="C7" s="34" t="s">
        <v>7</v>
      </c>
      <c r="D7" s="98" t="s">
        <v>617</v>
      </c>
      <c r="F7" s="85" t="s">
        <v>581</v>
      </c>
    </row>
    <row r="8" spans="2:8" ht="30" customHeight="1" thickBot="1">
      <c r="B8" s="27"/>
      <c r="C8" s="34" t="s">
        <v>8</v>
      </c>
      <c r="D8" s="98" t="s">
        <v>719</v>
      </c>
      <c r="F8" s="85" t="s">
        <v>582</v>
      </c>
    </row>
    <row r="9" spans="2:8" ht="30" customHeight="1" thickBot="1">
      <c r="B9" s="27"/>
      <c r="C9" s="34" t="s">
        <v>9</v>
      </c>
      <c r="D9" s="98" t="s">
        <v>718</v>
      </c>
      <c r="F9" s="85" t="s">
        <v>583</v>
      </c>
    </row>
    <row r="10" spans="2:8" ht="30" customHeight="1" thickBot="1">
      <c r="B10" s="27"/>
      <c r="C10" s="34" t="s">
        <v>10</v>
      </c>
      <c r="D10" s="98">
        <v>10</v>
      </c>
      <c r="F10" s="85" t="s">
        <v>584</v>
      </c>
    </row>
    <row r="11" spans="2:8" ht="30" customHeight="1" thickBot="1">
      <c r="B11" s="27"/>
      <c r="C11" s="34" t="s">
        <v>11</v>
      </c>
      <c r="D11" s="98" t="s">
        <v>720</v>
      </c>
      <c r="F11" s="85" t="s">
        <v>585</v>
      </c>
    </row>
    <row r="12" spans="2:8" ht="30" customHeight="1" thickBot="1">
      <c r="B12" s="27"/>
      <c r="C12" s="34" t="s">
        <v>12</v>
      </c>
      <c r="D12" s="98" t="s">
        <v>676</v>
      </c>
      <c r="F12" s="85" t="s">
        <v>586</v>
      </c>
    </row>
    <row r="13" spans="2:8" ht="30" customHeight="1" thickBot="1">
      <c r="B13" s="27"/>
      <c r="C13" s="34" t="s">
        <v>13</v>
      </c>
      <c r="D13" s="99" t="s">
        <v>677</v>
      </c>
      <c r="F13" s="85" t="s">
        <v>587</v>
      </c>
    </row>
    <row r="14" spans="2:8" ht="30" customHeight="1" thickBot="1">
      <c r="B14" s="27"/>
      <c r="C14" s="34" t="s">
        <v>14</v>
      </c>
      <c r="D14" s="99" t="s">
        <v>687</v>
      </c>
      <c r="F14" s="85" t="s">
        <v>588</v>
      </c>
    </row>
    <row r="15" spans="2:8" ht="30" customHeight="1" thickBot="1">
      <c r="B15" s="27"/>
      <c r="C15" s="34" t="s">
        <v>604</v>
      </c>
      <c r="D15" s="99" t="s">
        <v>688</v>
      </c>
      <c r="F15" s="85"/>
    </row>
    <row r="16" spans="2:8" ht="30" customHeight="1" thickBot="1">
      <c r="F16" s="94"/>
    </row>
    <row r="17" spans="2:15" ht="30" customHeight="1" thickBot="1">
      <c r="B17" s="28"/>
      <c r="C17" s="574" t="s">
        <v>15</v>
      </c>
      <c r="D17" s="574"/>
      <c r="F17" s="12" t="s">
        <v>590</v>
      </c>
    </row>
    <row r="18" spans="2:15" ht="30" customHeight="1" thickBot="1">
      <c r="B18" s="27"/>
      <c r="C18" s="34" t="s">
        <v>16</v>
      </c>
      <c r="D18" s="98" t="s">
        <v>0</v>
      </c>
      <c r="F18" s="85" t="s">
        <v>591</v>
      </c>
    </row>
    <row r="19" spans="2:15" ht="30" customHeight="1" thickBot="1">
      <c r="B19" s="27"/>
      <c r="C19" s="34" t="s">
        <v>17</v>
      </c>
      <c r="D19" s="98" t="s">
        <v>689</v>
      </c>
      <c r="F19" s="85" t="s">
        <v>592</v>
      </c>
    </row>
    <row r="20" spans="2:15" ht="30" customHeight="1" thickBot="1">
      <c r="B20" s="27"/>
      <c r="C20" s="34" t="s">
        <v>18</v>
      </c>
      <c r="D20" s="98" t="s">
        <v>597</v>
      </c>
      <c r="F20" s="85" t="s">
        <v>594</v>
      </c>
    </row>
    <row r="21" spans="2:15" ht="30" customHeight="1" thickBot="1">
      <c r="B21" s="27"/>
      <c r="C21" s="34" t="s">
        <v>19</v>
      </c>
      <c r="D21" s="476">
        <f ca="1">TODAY()</f>
        <v>45356</v>
      </c>
      <c r="F21" s="85" t="s">
        <v>595</v>
      </c>
    </row>
    <row r="22" spans="2:15" ht="30" customHeight="1" thickBot="1">
      <c r="D22" s="22"/>
      <c r="F22" s="94"/>
    </row>
    <row r="23" spans="2:15" ht="30" customHeight="1" thickBot="1">
      <c r="B23" s="28"/>
      <c r="C23" s="574" t="s">
        <v>20</v>
      </c>
      <c r="D23" s="574"/>
      <c r="F23" s="95" t="s">
        <v>209</v>
      </c>
      <c r="G23" s="20"/>
      <c r="H23" s="12" t="s">
        <v>623</v>
      </c>
    </row>
    <row r="24" spans="2:15" ht="30" customHeight="1" thickBot="1">
      <c r="B24" s="27"/>
      <c r="C24" s="35" t="s">
        <v>21</v>
      </c>
      <c r="D24" s="98">
        <v>10000</v>
      </c>
      <c r="F24" s="85" t="s">
        <v>603</v>
      </c>
      <c r="G24" s="23"/>
      <c r="H24" s="85" t="s">
        <v>229</v>
      </c>
      <c r="I24" s="23"/>
      <c r="J24" s="23"/>
      <c r="K24" s="23"/>
      <c r="L24" s="23"/>
      <c r="M24" s="23"/>
      <c r="N24" s="23"/>
      <c r="O24" s="23"/>
    </row>
    <row r="25" spans="2:15" ht="30" customHeight="1" thickBot="1">
      <c r="B25" s="27"/>
      <c r="C25" s="35" t="s">
        <v>606</v>
      </c>
      <c r="D25" s="419">
        <f>IF(D15="RCC roof", D24/8.5, D24/7.5)</f>
        <v>1333.3333333333333</v>
      </c>
      <c r="F25" s="85" t="s">
        <v>605</v>
      </c>
      <c r="G25" s="23"/>
      <c r="H25" s="85" t="s">
        <v>230</v>
      </c>
      <c r="I25" s="25"/>
      <c r="J25" s="25"/>
      <c r="K25" s="25"/>
      <c r="L25" s="25"/>
      <c r="M25" s="25"/>
      <c r="N25" s="25"/>
      <c r="O25" s="25"/>
    </row>
    <row r="26" spans="2:15" ht="30" customHeight="1" thickBot="1">
      <c r="B26" s="27"/>
      <c r="C26" s="34" t="s">
        <v>22</v>
      </c>
      <c r="D26" s="99" t="s">
        <v>690</v>
      </c>
      <c r="F26" s="85" t="s">
        <v>23</v>
      </c>
      <c r="G26" s="23"/>
      <c r="H26" s="85" t="s">
        <v>231</v>
      </c>
      <c r="I26" s="25"/>
      <c r="J26" s="25"/>
      <c r="K26" s="25"/>
      <c r="L26" s="25"/>
      <c r="M26" s="25"/>
      <c r="N26" s="25"/>
      <c r="O26" s="25"/>
    </row>
    <row r="27" spans="2:15" ht="30" customHeight="1" thickBot="1">
      <c r="B27" s="27"/>
      <c r="C27" s="34" t="s">
        <v>608</v>
      </c>
      <c r="D27" s="99" t="s">
        <v>616</v>
      </c>
      <c r="F27" s="85" t="s">
        <v>610</v>
      </c>
      <c r="G27" s="23"/>
      <c r="H27" s="85" t="s">
        <v>232</v>
      </c>
      <c r="I27" s="25"/>
      <c r="J27" s="25"/>
      <c r="K27" s="25"/>
      <c r="L27" s="25"/>
      <c r="M27" s="25"/>
      <c r="N27" s="25"/>
      <c r="O27" s="25"/>
    </row>
    <row r="28" spans="2:15" ht="30" customHeight="1" thickBot="1">
      <c r="B28" s="27"/>
      <c r="C28" s="34" t="s">
        <v>247</v>
      </c>
      <c r="D28" s="98">
        <v>100</v>
      </c>
      <c r="F28" s="85" t="s">
        <v>233</v>
      </c>
      <c r="G28" s="23"/>
      <c r="H28" s="85" t="s">
        <v>234</v>
      </c>
      <c r="I28" s="25"/>
      <c r="J28" s="25"/>
      <c r="K28" s="25"/>
      <c r="L28" s="25"/>
      <c r="M28" s="25"/>
      <c r="N28" s="25"/>
      <c r="O28" s="25"/>
    </row>
    <row r="29" spans="2:15" ht="30" customHeight="1" thickBot="1">
      <c r="B29" s="27"/>
      <c r="C29" s="34" t="s">
        <v>24</v>
      </c>
      <c r="D29" s="98">
        <v>35</v>
      </c>
      <c r="F29" s="85" t="s">
        <v>238</v>
      </c>
      <c r="G29" s="23"/>
      <c r="H29" s="85" t="s">
        <v>239</v>
      </c>
      <c r="I29" s="25"/>
      <c r="J29" s="25"/>
      <c r="K29" s="25"/>
      <c r="L29" s="25"/>
      <c r="M29" s="25" t="s">
        <v>334</v>
      </c>
      <c r="N29" s="25"/>
      <c r="O29" s="25"/>
    </row>
    <row r="30" spans="2:15" ht="30" customHeight="1" thickBot="1">
      <c r="B30" s="27"/>
      <c r="C30" s="34" t="s">
        <v>25</v>
      </c>
      <c r="D30" s="98">
        <v>25</v>
      </c>
      <c r="F30" s="85" t="s">
        <v>26</v>
      </c>
      <c r="G30" s="23"/>
      <c r="H30" s="85" t="s">
        <v>235</v>
      </c>
      <c r="I30" s="25"/>
      <c r="J30" s="25"/>
      <c r="K30" s="25"/>
      <c r="L30" s="25"/>
      <c r="M30" s="25"/>
      <c r="N30" s="25"/>
      <c r="O30" s="25"/>
    </row>
    <row r="31" spans="2:15" ht="30" customHeight="1" thickBot="1">
      <c r="B31" s="27"/>
      <c r="C31" s="34" t="s">
        <v>27</v>
      </c>
      <c r="D31" s="24" t="str">
        <f>IF(D28&lt;=5,"Single Phase","Three Phase")</f>
        <v>Three Phase</v>
      </c>
      <c r="F31" s="85" t="s">
        <v>28</v>
      </c>
      <c r="G31" s="23"/>
      <c r="H31" s="85" t="s">
        <v>236</v>
      </c>
      <c r="I31" s="25"/>
      <c r="J31" s="25"/>
      <c r="K31" s="25"/>
      <c r="L31" s="25"/>
      <c r="M31" s="25"/>
      <c r="N31" s="25"/>
      <c r="O31" s="25"/>
    </row>
    <row r="32" spans="2:15" ht="30" customHeight="1" thickBot="1">
      <c r="B32" s="27"/>
      <c r="C32" s="34" t="s">
        <v>29</v>
      </c>
      <c r="D32" s="98">
        <v>400</v>
      </c>
      <c r="F32" s="85" t="s">
        <v>30</v>
      </c>
      <c r="G32" s="23"/>
      <c r="H32" s="85" t="s">
        <v>237</v>
      </c>
      <c r="I32" s="25"/>
      <c r="J32" s="25"/>
      <c r="K32" s="25"/>
      <c r="L32" s="25"/>
      <c r="M32" s="25"/>
      <c r="N32" s="25"/>
      <c r="O32" s="25"/>
    </row>
    <row r="33" spans="2:15" ht="30" customHeight="1" thickBot="1">
      <c r="B33" s="27"/>
      <c r="C33" s="34" t="s">
        <v>598</v>
      </c>
      <c r="D33" s="98">
        <v>50</v>
      </c>
      <c r="F33" s="85" t="s">
        <v>240</v>
      </c>
      <c r="G33" s="23"/>
      <c r="H33" s="85" t="s">
        <v>241</v>
      </c>
      <c r="I33" s="25"/>
      <c r="J33" s="25"/>
      <c r="K33" s="25"/>
      <c r="L33" s="25"/>
      <c r="M33" s="25"/>
      <c r="N33" s="25"/>
      <c r="O33" s="25"/>
    </row>
    <row r="34" spans="2:15" ht="30" customHeight="1" thickBot="1">
      <c r="B34" s="27"/>
      <c r="C34" s="34" t="s">
        <v>31</v>
      </c>
      <c r="D34" s="99" t="s">
        <v>691</v>
      </c>
      <c r="F34" s="85" t="s">
        <v>32</v>
      </c>
      <c r="G34" s="23"/>
      <c r="H34" s="85" t="s">
        <v>243</v>
      </c>
      <c r="I34" s="25"/>
      <c r="J34" s="25"/>
      <c r="K34" s="25"/>
      <c r="L34" s="25"/>
      <c r="M34" s="25"/>
      <c r="N34" s="25"/>
      <c r="O34" s="25"/>
    </row>
    <row r="35" spans="2:15" ht="30" customHeight="1" thickBot="1">
      <c r="B35" s="27"/>
      <c r="C35" s="34" t="s">
        <v>33</v>
      </c>
      <c r="D35" s="24" t="str">
        <f xml:space="preserve"> IF(D31="Three Phase", "Not Required", "Required")</f>
        <v>Not Required</v>
      </c>
      <c r="F35" s="85" t="s">
        <v>34</v>
      </c>
      <c r="G35" s="23"/>
      <c r="H35" s="85" t="s">
        <v>242</v>
      </c>
      <c r="I35" s="25"/>
      <c r="J35" s="25"/>
      <c r="K35" s="25"/>
      <c r="L35" s="25"/>
      <c r="M35" s="25"/>
      <c r="N35" s="25"/>
      <c r="O35" s="25"/>
    </row>
    <row r="36" spans="2:15" ht="30" customHeight="1" thickBot="1">
      <c r="B36" s="27"/>
      <c r="C36" s="34" t="s">
        <v>35</v>
      </c>
      <c r="D36" s="99" t="s">
        <v>536</v>
      </c>
      <c r="F36" s="85" t="s">
        <v>678</v>
      </c>
      <c r="G36" s="89"/>
      <c r="H36" s="85" t="s">
        <v>679</v>
      </c>
    </row>
    <row r="37" spans="2:15" ht="30" customHeight="1" thickBot="1">
      <c r="B37" s="27"/>
      <c r="C37" s="34" t="s">
        <v>130</v>
      </c>
      <c r="D37" s="97">
        <v>490</v>
      </c>
      <c r="F37" s="85" t="s">
        <v>680</v>
      </c>
      <c r="G37" s="89"/>
      <c r="H37" s="85" t="s">
        <v>681</v>
      </c>
    </row>
    <row r="38" spans="2:15" ht="30" customHeight="1" thickBot="1">
      <c r="B38" s="27"/>
      <c r="C38" s="34" t="s">
        <v>131</v>
      </c>
      <c r="D38" s="97">
        <v>36.5</v>
      </c>
      <c r="F38" s="85" t="s">
        <v>680</v>
      </c>
      <c r="G38" s="89"/>
      <c r="H38" s="85" t="s">
        <v>681</v>
      </c>
    </row>
    <row r="39" spans="2:15" ht="30" customHeight="1" thickBot="1">
      <c r="B39" s="27"/>
      <c r="C39" s="34" t="s">
        <v>132</v>
      </c>
      <c r="D39" s="97">
        <v>13.43</v>
      </c>
      <c r="F39" s="85" t="s">
        <v>680</v>
      </c>
      <c r="G39" s="89"/>
      <c r="H39" s="85" t="s">
        <v>681</v>
      </c>
    </row>
    <row r="40" spans="2:15" ht="30" customHeight="1" thickBot="1">
      <c r="B40" s="27"/>
      <c r="C40" s="34" t="s">
        <v>133</v>
      </c>
      <c r="D40" s="97">
        <v>43.4</v>
      </c>
      <c r="F40" s="85" t="s">
        <v>680</v>
      </c>
      <c r="G40" s="89"/>
      <c r="H40" s="85" t="s">
        <v>681</v>
      </c>
    </row>
    <row r="41" spans="2:15" ht="30" customHeight="1" thickBot="1">
      <c r="B41" s="27"/>
      <c r="C41" s="34" t="s">
        <v>134</v>
      </c>
      <c r="D41" s="97">
        <v>14.07</v>
      </c>
      <c r="F41" s="85" t="s">
        <v>680</v>
      </c>
      <c r="G41" s="89"/>
      <c r="H41" s="85" t="s">
        <v>681</v>
      </c>
    </row>
    <row r="42" spans="2:15" ht="30" customHeight="1" thickBot="1"/>
    <row r="43" spans="2:15" ht="30" customHeight="1" thickBot="1">
      <c r="B43" s="28"/>
      <c r="C43" s="574" t="s">
        <v>613</v>
      </c>
      <c r="D43" s="574"/>
      <c r="F43" s="95" t="s">
        <v>209</v>
      </c>
      <c r="H43" s="12" t="s">
        <v>623</v>
      </c>
    </row>
    <row r="44" spans="2:15" ht="30" customHeight="1" thickBot="1">
      <c r="B44" s="66"/>
      <c r="C44" s="34" t="s">
        <v>254</v>
      </c>
      <c r="D44" s="98">
        <v>2025</v>
      </c>
      <c r="F44" s="85" t="s">
        <v>624</v>
      </c>
      <c r="G44" s="89"/>
      <c r="H44" s="85" t="s">
        <v>618</v>
      </c>
    </row>
    <row r="45" spans="2:15" ht="30" customHeight="1" thickBot="1">
      <c r="B45" s="66"/>
      <c r="C45" s="34" t="s">
        <v>614</v>
      </c>
      <c r="D45" s="98">
        <v>25</v>
      </c>
      <c r="F45" s="85" t="s">
        <v>625</v>
      </c>
      <c r="G45" s="89"/>
      <c r="H45" s="85" t="s">
        <v>619</v>
      </c>
    </row>
    <row r="46" spans="2:15" ht="30" customHeight="1" thickBot="1">
      <c r="B46" s="66"/>
      <c r="C46" s="34" t="s">
        <v>264</v>
      </c>
      <c r="D46" s="101">
        <v>0.13</v>
      </c>
      <c r="F46" s="85" t="s">
        <v>626</v>
      </c>
      <c r="G46" s="89"/>
      <c r="H46" s="85" t="s">
        <v>620</v>
      </c>
    </row>
    <row r="47" spans="2:15" ht="30" customHeight="1" thickBot="1">
      <c r="B47" s="66"/>
      <c r="C47" s="34" t="s">
        <v>283</v>
      </c>
      <c r="D47" s="101">
        <v>0.1</v>
      </c>
      <c r="F47" s="85" t="s">
        <v>627</v>
      </c>
      <c r="G47" s="89"/>
      <c r="H47" s="85" t="s">
        <v>621</v>
      </c>
    </row>
    <row r="48" spans="2:15" ht="30" customHeight="1" thickBot="1">
      <c r="B48" s="27"/>
      <c r="C48" s="34" t="s">
        <v>615</v>
      </c>
      <c r="D48" s="104">
        <v>140</v>
      </c>
      <c r="F48" s="85" t="s">
        <v>628</v>
      </c>
      <c r="G48" s="89"/>
      <c r="H48" s="85" t="s">
        <v>622</v>
      </c>
    </row>
    <row r="51" spans="5:5" ht="13.5" thickBot="1">
      <c r="E51" s="48"/>
    </row>
    <row r="52" spans="5:5" ht="12.5"/>
  </sheetData>
  <sheetProtection algorithmName="SHA-512" hashValue="7BXUJ207KDMhELsliYYwZ4japeX+iN47jj6C82sQVeV6QAZBUrOreH2I9YBgxI+SyOoUmZ4BEP3MgZEVd/D9PQ==" saltValue="mzK72x1dC5nPVN4ByLuIgw==" spinCount="100000" sheet="1" formatCells="0" formatColumns="0" formatRows="0" insertColumns="0" insertRows="0" insertHyperlinks="0" deleteColumns="0" deleteRows="0" sort="0" autoFilter="0" pivotTables="0"/>
  <mergeCells count="5">
    <mergeCell ref="B2:D2"/>
    <mergeCell ref="C4:D4"/>
    <mergeCell ref="C17:D17"/>
    <mergeCell ref="C23:D23"/>
    <mergeCell ref="C43:D43"/>
  </mergeCells>
  <dataValidations count="16">
    <dataValidation type="list" allowBlank="1" showInputMessage="1" showErrorMessage="1" sqref="D13" xr:uid="{7E3478D7-83BB-438D-8E99-D4E8A1100248}">
      <formula1>"Industrial, Commercial, Residential"</formula1>
    </dataValidation>
    <dataValidation type="list" allowBlank="1" showInputMessage="1" showErrorMessage="1" sqref="D14" xr:uid="{C475A5D5-7D79-4BDA-B715-4AD17F891987}">
      <formula1>"Rooftop, Ground Mount"</formula1>
    </dataValidation>
    <dataValidation type="list" allowBlank="1" showInputMessage="1" showErrorMessage="1" sqref="D34" xr:uid="{9BA25FE4-A2AE-4771-BC4B-BAA5503CB3FD}">
      <formula1>"Required, Not Required"</formula1>
    </dataValidation>
    <dataValidation type="list" allowBlank="1" showInputMessage="1" showErrorMessage="1" sqref="D36" xr:uid="{33E0734B-B554-4A0D-9F12-82578310CEF6}">
      <formula1>"Monocrystalline, Polycrystalline, Thin film"</formula1>
    </dataValidation>
    <dataValidation type="decimal" errorStyle="warning" allowBlank="1" showInputMessage="1" showErrorMessage="1" errorTitle="Warning ! Max 35" error="The roof tilt angle exceeds the maximum recommended value 35 degrees." promptTitle="Maximum Tilt Angle" prompt="The recommended maximum angle is 35 degrees" sqref="D30" xr:uid="{90084B8B-A809-4ADF-91AD-135D4690B4F4}">
      <formula1>0</formula1>
      <formula2>35</formula2>
    </dataValidation>
    <dataValidation type="whole" errorStyle="warning" operator="lessThanOrEqual" allowBlank="1" showInputMessage="1" showErrorMessage="1" errorTitle="Error" error="The maximum limit for the residential load type is set at 5 kWp._x000a__x000a_OR _x000a__x000a_The available space for the project is not enough to reach the required size of the system." prompt="Maximum size for residential systems is 5 kW" sqref="D28" xr:uid="{50984D5E-0A22-4BD7-92DE-0FBE3290099E}">
      <formula1>IF(D13="Residential",MIN(D25,5),D25)</formula1>
    </dataValidation>
    <dataValidation type="decimal" errorStyle="warning" operator="greaterThan" allowBlank="1" showInputMessage="1" showErrorMessage="1" errorTitle="Size Limit" error="The available space for the project do not permitted to reach the required size of the project in kW." sqref="D25" xr:uid="{D183B34D-125E-42CA-9B13-DAAF37BCD3B1}">
      <formula1>D28</formula1>
    </dataValidation>
    <dataValidation type="custom" operator="greaterThan" allowBlank="1" showInputMessage="1" showErrorMessage="1" sqref="D24" xr:uid="{B1F6F449-C379-44D6-A670-EB2C6E11D735}">
      <formula1>ISNUMBER(D24)</formula1>
    </dataValidation>
    <dataValidation type="list" allowBlank="1" showInputMessage="1" showErrorMessage="1" sqref="D26" xr:uid="{73C0BB3C-0298-4220-A166-32D32EA018E3}">
      <formula1>"RCC, GI Truss Based Structure"</formula1>
    </dataValidation>
    <dataValidation type="custom" allowBlank="1" showInputMessage="1" showErrorMessage="1" sqref="D8:D9 D11 D5 D18:D20" xr:uid="{40691B3F-672C-4FE0-977E-D3EEF9A4F31F}">
      <formula1>ISTEXT(D5)</formula1>
    </dataValidation>
    <dataValidation type="custom" allowBlank="1" showInputMessage="1" showErrorMessage="1" errorTitle="Please enter only text" error="Please enter a valid format (Only text)" sqref="D7" xr:uid="{6CF643F0-9A1C-4BA1-AB19-E1D671F3FB17}">
      <formula1>ISTEXT(D7)</formula1>
    </dataValidation>
    <dataValidation type="custom" allowBlank="1" showInputMessage="1" showErrorMessage="1" sqref="D29 D10 D33 D6 D37:D41 D44:D48" xr:uid="{FEDD657B-3FE4-4E64-BC6F-2C39EC7E4523}">
      <formula1>ISNUMBER(D6)</formula1>
    </dataValidation>
    <dataValidation type="list" allowBlank="1" showInputMessage="1" showErrorMessage="1" sqref="D15" xr:uid="{6D18707F-7589-40A7-A05C-D48BB5F61EC4}">
      <formula1>"Industrial shed, RCC roof"</formula1>
    </dataValidation>
    <dataValidation type="list" allowBlank="1" showInputMessage="1" showErrorMessage="1" sqref="D27" xr:uid="{9264D34E-5F11-47FB-975F-AF035D9F32DB}">
      <formula1>"North (0°), East (90°), South (180°), West (270°)"</formula1>
    </dataValidation>
    <dataValidation type="date" operator="notEqual" allowBlank="1" showInputMessage="1" showErrorMessage="1" sqref="D21" xr:uid="{9456C8F7-66DC-4FB2-B117-BA76100F69B3}">
      <formula1>36892</formula1>
    </dataValidation>
    <dataValidation type="custom" allowBlank="1" showInputMessage="1" showErrorMessage="1" sqref="D32" xr:uid="{7C343141-3E63-45CF-AFBD-8FF896A1FE0A}">
      <formula1>ISNUMBER(C2)</formula1>
    </dataValidation>
  </dataValidations>
  <pageMargins left="0.7" right="0.7" top="0.75" bottom="0.75" header="0.3" footer="0.3"/>
  <pageSetup scale="97" orientation="portrait" r:id="rId1"/>
  <rowBreaks count="1" manualBreakCount="1">
    <brk id="22" max="7" man="1"/>
  </rowBreaks>
  <colBreaks count="2" manualBreakCount="2">
    <brk id="4" max="35" man="1"/>
    <brk id="6" max="3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5305-4B41-4871-ACF7-DC1F0A6D203E}">
  <sheetPr codeName="Sheet3">
    <tabColor rgb="FFC10000"/>
  </sheetPr>
  <dimension ref="B1:AQ69"/>
  <sheetViews>
    <sheetView zoomScale="90" zoomScaleNormal="90" zoomScaleSheetLayoutView="40" zoomScalePageLayoutView="50" workbookViewId="0">
      <selection activeCell="A3" sqref="A3"/>
    </sheetView>
  </sheetViews>
  <sheetFormatPr defaultColWidth="8.453125" defaultRowHeight="13.5" thickBottom="1"/>
  <cols>
    <col min="1" max="2" width="3.453125" style="13" customWidth="1"/>
    <col min="3" max="3" width="23.453125" style="13" customWidth="1"/>
    <col min="4" max="4" width="20.453125" style="13" customWidth="1"/>
    <col min="5" max="5" width="8.1796875" style="42" bestFit="1" customWidth="1"/>
    <col min="6" max="7" width="3.453125" style="13" customWidth="1"/>
    <col min="8" max="8" width="23.453125" style="13" customWidth="1"/>
    <col min="9" max="9" width="20.453125" style="13" customWidth="1"/>
    <col min="10" max="10" width="8.1796875" style="42" customWidth="1"/>
    <col min="11" max="13" width="3.453125" style="13" customWidth="1"/>
    <col min="14" max="14" width="23.453125" style="13" customWidth="1"/>
    <col min="15" max="15" width="10.453125" style="13" customWidth="1"/>
    <col min="16" max="16" width="8.1796875" style="13" customWidth="1"/>
    <col min="17" max="17" width="23.453125" style="13" customWidth="1"/>
    <col min="18" max="18" width="3.453125" style="13" customWidth="1"/>
    <col min="19" max="19" width="23.453125" style="13" customWidth="1"/>
    <col min="20" max="20" width="14" style="13" customWidth="1"/>
    <col min="21" max="21" width="8.453125" style="13"/>
    <col min="22" max="24" width="3.453125" style="13" customWidth="1"/>
    <col min="25" max="25" width="28.1796875" style="13" customWidth="1"/>
    <col min="26" max="26" width="26.1796875" style="14" customWidth="1"/>
    <col min="27" max="27" width="8.1796875" style="13" customWidth="1"/>
    <col min="28" max="28" width="8" style="13" customWidth="1"/>
    <col min="29" max="31" width="13.81640625" style="13" customWidth="1"/>
    <col min="32" max="32" width="3.453125" style="13" customWidth="1"/>
    <col min="33" max="33" width="4.1796875" style="13" customWidth="1"/>
    <col min="34" max="34" width="4.81640625" style="13" customWidth="1"/>
    <col min="35" max="35" width="2.1796875" style="13" customWidth="1"/>
    <col min="36" max="36" width="27.1796875" style="14" customWidth="1"/>
    <col min="37" max="37" width="12.81640625" style="48" customWidth="1"/>
    <col min="38" max="38" width="12.453125" style="13" customWidth="1"/>
    <col min="39" max="39" width="4.453125" style="13" customWidth="1"/>
    <col min="40" max="40" width="27.1796875" style="13" customWidth="1"/>
    <col min="41" max="42" width="12.81640625" style="13" customWidth="1"/>
    <col min="43" max="43" width="4.1796875" style="13" customWidth="1"/>
    <col min="44" max="16384" width="8.453125" style="13"/>
  </cols>
  <sheetData>
    <row r="1" spans="2:43" ht="21" customHeight="1" thickBot="1">
      <c r="K1" s="44"/>
      <c r="L1" s="44"/>
    </row>
    <row r="2" spans="2:43" ht="80.25" customHeight="1" thickBot="1">
      <c r="K2" s="44"/>
      <c r="L2" s="44"/>
      <c r="Z2" s="13"/>
      <c r="AF2" s="43"/>
      <c r="AJ2" s="13"/>
      <c r="AO2" s="43"/>
    </row>
    <row r="3" spans="2:43" ht="35" customHeight="1" thickBot="1">
      <c r="B3" s="603" t="s">
        <v>701</v>
      </c>
      <c r="C3" s="604"/>
      <c r="D3" s="604"/>
      <c r="E3" s="604"/>
      <c r="F3" s="604"/>
      <c r="G3" s="604"/>
      <c r="H3" s="604"/>
      <c r="I3" s="604"/>
      <c r="J3" s="605"/>
      <c r="K3" s="44"/>
      <c r="L3" s="44"/>
      <c r="M3" s="583" t="s">
        <v>672</v>
      </c>
      <c r="N3" s="584"/>
      <c r="O3" s="584"/>
      <c r="P3" s="584"/>
      <c r="Q3" s="584"/>
      <c r="R3" s="584"/>
      <c r="S3" s="584"/>
      <c r="T3" s="584"/>
      <c r="U3" s="585"/>
      <c r="X3" s="583" t="s">
        <v>697</v>
      </c>
      <c r="Y3" s="584"/>
      <c r="Z3" s="584"/>
      <c r="AA3" s="584"/>
      <c r="AB3" s="584"/>
      <c r="AC3" s="584"/>
      <c r="AD3" s="584"/>
      <c r="AE3" s="584"/>
      <c r="AF3" s="44"/>
      <c r="AH3" s="583" t="s">
        <v>664</v>
      </c>
      <c r="AI3" s="584"/>
      <c r="AJ3" s="584"/>
      <c r="AK3" s="584"/>
      <c r="AL3" s="584"/>
      <c r="AM3" s="584"/>
      <c r="AN3" s="584"/>
      <c r="AO3" s="584"/>
      <c r="AP3" s="585"/>
    </row>
    <row r="4" spans="2:43" ht="25.5" customHeight="1" thickBot="1">
      <c r="AH4" s="435"/>
      <c r="AI4" s="435"/>
      <c r="AJ4" s="436"/>
      <c r="AK4" s="440"/>
      <c r="AL4" s="435"/>
      <c r="AM4" s="435"/>
      <c r="AN4" s="435"/>
      <c r="AO4" s="435"/>
      <c r="AP4" s="435"/>
      <c r="AQ4" s="435"/>
    </row>
    <row r="5" spans="2:43" ht="30" customHeight="1" thickBot="1">
      <c r="B5" s="45"/>
      <c r="C5" s="31" t="s">
        <v>189</v>
      </c>
      <c r="D5" s="46">
        <f ca="1">'2. Inputs'!D21</f>
        <v>45356</v>
      </c>
      <c r="E5" s="47"/>
      <c r="J5" s="13"/>
      <c r="AD5" s="70" t="str">
        <f>'Reference Prices'!I39</f>
        <v>NPR/Wp</v>
      </c>
      <c r="AE5" s="71">
        <f>'Reference Prices'!J39</f>
        <v>65</v>
      </c>
      <c r="AG5" s="82"/>
      <c r="AH5" s="602" t="s">
        <v>652</v>
      </c>
      <c r="AI5" s="437"/>
      <c r="AJ5" s="442" t="s">
        <v>653</v>
      </c>
      <c r="AK5" s="434"/>
      <c r="AL5" s="84"/>
      <c r="AM5" s="467"/>
      <c r="AN5" s="81"/>
    </row>
    <row r="6" spans="2:43" ht="30" customHeight="1" thickBot="1">
      <c r="B6" s="45"/>
      <c r="C6" s="31" t="s">
        <v>36</v>
      </c>
      <c r="D6" s="609" t="s">
        <v>214</v>
      </c>
      <c r="E6" s="610"/>
      <c r="F6" s="610"/>
      <c r="G6" s="610"/>
      <c r="H6" s="610"/>
      <c r="I6" s="611"/>
      <c r="J6" s="47"/>
      <c r="AG6" s="82"/>
      <c r="AH6" s="602"/>
      <c r="AI6" s="437"/>
      <c r="AJ6" s="444" t="s">
        <v>654</v>
      </c>
      <c r="AK6" s="444" t="s">
        <v>649</v>
      </c>
      <c r="AL6" s="460" t="s">
        <v>261</v>
      </c>
      <c r="AM6" s="468"/>
      <c r="AN6" s="81"/>
    </row>
    <row r="7" spans="2:43" ht="30" customHeight="1" thickBot="1">
      <c r="B7" s="45"/>
      <c r="C7" s="31" t="s">
        <v>37</v>
      </c>
      <c r="D7" s="606" t="s">
        <v>629</v>
      </c>
      <c r="E7" s="607"/>
      <c r="F7" s="607"/>
      <c r="G7" s="607"/>
      <c r="H7" s="607"/>
      <c r="I7" s="608"/>
      <c r="J7" s="47"/>
      <c r="X7" s="72" t="s">
        <v>216</v>
      </c>
      <c r="Y7" s="72" t="s">
        <v>39</v>
      </c>
      <c r="Z7" s="12" t="s">
        <v>40</v>
      </c>
      <c r="AA7" s="72" t="s">
        <v>41</v>
      </c>
      <c r="AB7" s="72" t="s">
        <v>42</v>
      </c>
      <c r="AC7" s="12" t="s">
        <v>43</v>
      </c>
      <c r="AD7" s="12" t="s">
        <v>44</v>
      </c>
      <c r="AE7" s="12" t="s">
        <v>45</v>
      </c>
      <c r="AG7" s="82"/>
      <c r="AH7" s="602"/>
      <c r="AI7" s="437"/>
      <c r="AJ7" s="486" t="s">
        <v>277</v>
      </c>
      <c r="AK7" s="487">
        <f>'Backend Finance'!H152/1000</f>
        <v>31.151617857142856</v>
      </c>
      <c r="AL7" s="463">
        <f>AK7/AK11</f>
        <v>0.5</v>
      </c>
      <c r="AM7" s="469"/>
      <c r="AN7" s="81"/>
    </row>
    <row r="8" spans="2:43" ht="30" customHeight="1" thickBot="1">
      <c r="X8" s="67">
        <f>'Reference Prices'!B41</f>
        <v>1</v>
      </c>
      <c r="Y8" s="66" t="str">
        <f>'Reference Prices'!C41</f>
        <v>Solar Panel</v>
      </c>
      <c r="Z8" s="68" t="str">
        <f>'Reference Prices'!E41</f>
        <v>Monocrystalline</v>
      </c>
      <c r="AA8" s="55">
        <f>'Reference Prices'!G41</f>
        <v>101</v>
      </c>
      <c r="AB8" s="69" t="str">
        <f>'Reference Prices'!H41</f>
        <v>kWp</v>
      </c>
      <c r="AC8" s="418">
        <f>'Reference Prices'!I41</f>
        <v>35000</v>
      </c>
      <c r="AD8" s="418">
        <f>'Reference Prices'!J41</f>
        <v>3535000</v>
      </c>
      <c r="AE8" s="418"/>
      <c r="AG8" s="82"/>
      <c r="AH8" s="602"/>
      <c r="AI8" s="437"/>
      <c r="AJ8" s="486" t="s">
        <v>278</v>
      </c>
      <c r="AK8" s="487">
        <f>'Backend Finance'!H153/1000</f>
        <v>0</v>
      </c>
      <c r="AL8" s="463">
        <f>AK8/AK11</f>
        <v>0</v>
      </c>
      <c r="AM8" s="469"/>
      <c r="AN8" s="81"/>
    </row>
    <row r="9" spans="2:43" ht="30" customHeight="1" thickBot="1">
      <c r="B9" s="51"/>
      <c r="C9" s="599" t="s">
        <v>46</v>
      </c>
      <c r="D9" s="600"/>
      <c r="E9" s="600"/>
      <c r="F9" s="600"/>
      <c r="G9" s="600"/>
      <c r="H9" s="600"/>
      <c r="I9" s="601"/>
      <c r="J9" s="26"/>
      <c r="X9" s="67">
        <f>'Reference Prices'!B42</f>
        <v>2</v>
      </c>
      <c r="Y9" s="66" t="str">
        <f>'Reference Prices'!C42</f>
        <v>Aluminum Angle</v>
      </c>
      <c r="Z9" s="68" t="str">
        <f>'Reference Prices'!E42</f>
        <v>2x2 Aluminum Frame and relevant Accessories</v>
      </c>
      <c r="AA9" s="55">
        <f>'Reference Prices'!G42</f>
        <v>101</v>
      </c>
      <c r="AB9" s="69" t="str">
        <f>'Reference Prices'!H42</f>
        <v>kWp</v>
      </c>
      <c r="AC9" s="418">
        <f>'Reference Prices'!I42</f>
        <v>9000</v>
      </c>
      <c r="AD9" s="418">
        <f>'Reference Prices'!J42</f>
        <v>0</v>
      </c>
      <c r="AE9" s="418">
        <f>'Reference Prices'!K42</f>
        <v>909000</v>
      </c>
      <c r="AG9" s="82"/>
      <c r="AH9" s="602"/>
      <c r="AI9" s="437"/>
      <c r="AJ9" s="486" t="s">
        <v>267</v>
      </c>
      <c r="AK9" s="487">
        <f>'Backend Finance'!H154/1000</f>
        <v>0</v>
      </c>
      <c r="AL9" s="463">
        <f>AK9/AK11</f>
        <v>0</v>
      </c>
      <c r="AM9" s="469"/>
      <c r="AN9" s="81"/>
    </row>
    <row r="10" spans="2:43" ht="30" customHeight="1" thickBot="1">
      <c r="B10" s="45"/>
      <c r="C10" s="31" t="s">
        <v>47</v>
      </c>
      <c r="D10" s="21" t="str">
        <f>'2. Inputs'!D5</f>
        <v>Biratnagar Metropolitan City</v>
      </c>
      <c r="E10" s="47"/>
      <c r="G10" s="45"/>
      <c r="H10" s="31" t="s">
        <v>51</v>
      </c>
      <c r="I10" s="21" t="str">
        <f>'2. Inputs'!D11</f>
        <v>Traffic Chowk</v>
      </c>
      <c r="J10" s="47"/>
      <c r="K10" s="30"/>
      <c r="X10" s="67">
        <f>'Reference Prices'!B43</f>
        <v>3</v>
      </c>
      <c r="Y10" s="66" t="str">
        <f>'Reference Prices'!C43</f>
        <v>Grid Connected Inverter</v>
      </c>
      <c r="Z10" s="68" t="str">
        <f>'Reference Prices'!E43</f>
        <v>25 kW</v>
      </c>
      <c r="AA10" s="55">
        <f>'Reference Prices'!G43</f>
        <v>4</v>
      </c>
      <c r="AB10" s="69" t="str">
        <f>'Reference Prices'!H43</f>
        <v>Pcs.</v>
      </c>
      <c r="AC10" s="418">
        <f>'Reference Prices'!I43</f>
        <v>590000</v>
      </c>
      <c r="AD10" s="418">
        <f>'Reference Prices'!J43</f>
        <v>2360000</v>
      </c>
      <c r="AE10" s="418">
        <f>'Reference Prices'!K43</f>
        <v>0</v>
      </c>
      <c r="AG10" s="82"/>
      <c r="AH10" s="602"/>
      <c r="AI10" s="437"/>
      <c r="AJ10" s="486" t="s">
        <v>279</v>
      </c>
      <c r="AK10" s="487">
        <f>'Backend Finance'!H156/1000</f>
        <v>31.151617857142856</v>
      </c>
      <c r="AL10" s="463">
        <f>AK10/AK11</f>
        <v>0.5</v>
      </c>
      <c r="AM10" s="469"/>
      <c r="AN10" s="81"/>
    </row>
    <row r="11" spans="2:43" ht="30" customHeight="1" thickBot="1">
      <c r="B11" s="45"/>
      <c r="C11" s="31" t="s">
        <v>5</v>
      </c>
      <c r="D11" s="21">
        <f>'2. Inputs'!D6</f>
        <v>12</v>
      </c>
      <c r="E11" s="47"/>
      <c r="G11" s="45"/>
      <c r="H11" s="31" t="s">
        <v>52</v>
      </c>
      <c r="I11" s="21" t="str">
        <f>'2. Inputs'!D12</f>
        <v>22.34,83.23</v>
      </c>
      <c r="J11" s="47"/>
      <c r="K11" s="30"/>
      <c r="X11" s="67">
        <f>'Reference Prices'!B44</f>
        <v>4</v>
      </c>
      <c r="Y11" s="66" t="str">
        <f>'Reference Prices'!C44</f>
        <v>Remote Monitoring Unit</v>
      </c>
      <c r="Z11" s="68" t="str">
        <f>'Reference Prices'!E44</f>
        <v>As per the selected inverter</v>
      </c>
      <c r="AA11" s="55">
        <f>'Reference Prices'!G44</f>
        <v>1</v>
      </c>
      <c r="AB11" s="69" t="str">
        <f>'Reference Prices'!H44</f>
        <v>Pcs.</v>
      </c>
      <c r="AC11" s="418">
        <f>'Reference Prices'!I44</f>
        <v>65000</v>
      </c>
      <c r="AD11" s="418">
        <f>'Reference Prices'!J44</f>
        <v>0</v>
      </c>
      <c r="AE11" s="418">
        <f>'Reference Prices'!K44</f>
        <v>65000</v>
      </c>
      <c r="AG11" s="82"/>
      <c r="AH11" s="602"/>
      <c r="AI11" s="437"/>
      <c r="AJ11" s="444" t="s">
        <v>651</v>
      </c>
      <c r="AK11" s="488">
        <f>SUM(AK7:AK10)</f>
        <v>62.303235714285712</v>
      </c>
      <c r="AL11" s="464">
        <f>SUM(AK7:AK10)/AK11</f>
        <v>1</v>
      </c>
      <c r="AM11" s="468"/>
      <c r="AN11" s="465"/>
      <c r="AO11" s="49"/>
      <c r="AP11" s="49"/>
    </row>
    <row r="12" spans="2:43" ht="30" customHeight="1" thickBot="1">
      <c r="B12" s="45"/>
      <c r="C12" s="31" t="s">
        <v>48</v>
      </c>
      <c r="D12" s="21" t="str">
        <f>'2. Inputs'!D7</f>
        <v>Koshi</v>
      </c>
      <c r="E12" s="47"/>
      <c r="G12" s="45"/>
      <c r="H12" s="31" t="s">
        <v>53</v>
      </c>
      <c r="I12" s="21" t="str">
        <f>'2. Inputs'!D18</f>
        <v>Nipun Regmi</v>
      </c>
      <c r="J12" s="47"/>
      <c r="X12" s="67">
        <f>'Reference Prices'!B45</f>
        <v>5</v>
      </c>
      <c r="Y12" s="66" t="str">
        <f>'Reference Prices'!C45</f>
        <v>Energy Meter</v>
      </c>
      <c r="Z12" s="68" t="str">
        <f>'Reference Prices'!E45</f>
        <v>NEA Standard</v>
      </c>
      <c r="AA12" s="55">
        <f>'Reference Prices'!G45</f>
        <v>0</v>
      </c>
      <c r="AB12" s="69" t="str">
        <f>'Reference Prices'!H45</f>
        <v>Pcs.</v>
      </c>
      <c r="AC12" s="418">
        <f>'Reference Prices'!I45</f>
        <v>31000</v>
      </c>
      <c r="AD12" s="418">
        <f>'Reference Prices'!J45</f>
        <v>0</v>
      </c>
      <c r="AE12" s="418">
        <f>'Reference Prices'!K45</f>
        <v>0</v>
      </c>
      <c r="AG12" s="82"/>
      <c r="AH12" s="48"/>
      <c r="AI12" s="32"/>
      <c r="AJ12" s="49"/>
      <c r="AL12" s="42"/>
      <c r="AM12" s="466"/>
      <c r="AN12" s="50"/>
    </row>
    <row r="13" spans="2:43" ht="30" customHeight="1" thickBot="1">
      <c r="B13" s="45"/>
      <c r="C13" s="31" t="s">
        <v>49</v>
      </c>
      <c r="D13" s="21" t="str">
        <f>'2. Inputs'!D8</f>
        <v>Morang</v>
      </c>
      <c r="E13" s="47"/>
      <c r="G13" s="45"/>
      <c r="H13" s="31" t="s">
        <v>54</v>
      </c>
      <c r="I13" s="21" t="str">
        <f>'2. Inputs'!D19</f>
        <v>Project Coordinator</v>
      </c>
      <c r="J13" s="47"/>
      <c r="K13" s="30"/>
      <c r="X13" s="67">
        <f>'Reference Prices'!B46</f>
        <v>6</v>
      </c>
      <c r="Y13" s="66" t="str">
        <f>'Reference Prices'!C46</f>
        <v>DC Cable (PV Strings)</v>
      </c>
      <c r="Z13" s="68" t="str">
        <f>'Reference Prices'!E46</f>
        <v>4Sq.mm, 1100V, 1 Core</v>
      </c>
      <c r="AA13" s="55">
        <f>'Reference Prices'!G46</f>
        <v>309</v>
      </c>
      <c r="AB13" s="69" t="str">
        <f>'Reference Prices'!H46</f>
        <v>Meters</v>
      </c>
      <c r="AC13" s="418">
        <f>'Reference Prices'!I46</f>
        <v>105</v>
      </c>
      <c r="AD13" s="418">
        <f>'Reference Prices'!J46</f>
        <v>0</v>
      </c>
      <c r="AE13" s="418">
        <f>'Reference Prices'!K46</f>
        <v>32445</v>
      </c>
      <c r="AG13" s="82"/>
      <c r="AN13" s="50"/>
    </row>
    <row r="14" spans="2:43" ht="30" customHeight="1" thickBot="1">
      <c r="B14" s="45"/>
      <c r="C14" s="31" t="s">
        <v>212</v>
      </c>
      <c r="D14" s="21" t="str">
        <f>'2. Inputs'!D9</f>
        <v>Biratnagar Metropolitan City</v>
      </c>
      <c r="E14" s="47"/>
      <c r="G14" s="45"/>
      <c r="H14" s="31" t="s">
        <v>55</v>
      </c>
      <c r="I14" s="21" t="str">
        <f>'2. Inputs'!D20</f>
        <v>POSTED</v>
      </c>
      <c r="J14" s="47"/>
      <c r="K14" s="30"/>
      <c r="X14" s="67">
        <f>'Reference Prices'!B47</f>
        <v>7</v>
      </c>
      <c r="Y14" s="73" t="str">
        <f>'Reference Prices'!C47</f>
        <v>DC Cable(From Array to Power House)</v>
      </c>
      <c r="Z14" s="68" t="str">
        <f>'Reference Prices'!E47</f>
        <v>4 Sq.mm</v>
      </c>
      <c r="AA14" s="55">
        <f>'Reference Prices'!G47</f>
        <v>50</v>
      </c>
      <c r="AB14" s="69" t="str">
        <f>'Reference Prices'!H47</f>
        <v>Meters</v>
      </c>
      <c r="AC14" s="418">
        <f>'Reference Prices'!I47</f>
        <v>144</v>
      </c>
      <c r="AD14" s="418">
        <f>'Reference Prices'!J47</f>
        <v>0</v>
      </c>
      <c r="AE14" s="418">
        <f>'Reference Prices'!K47</f>
        <v>7200</v>
      </c>
      <c r="AG14" s="82"/>
      <c r="AN14" s="50"/>
    </row>
    <row r="15" spans="2:43" ht="30" customHeight="1" thickBot="1">
      <c r="B15" s="45"/>
      <c r="C15" s="31" t="s">
        <v>50</v>
      </c>
      <c r="D15" s="21">
        <f>'2. Inputs'!D10</f>
        <v>10</v>
      </c>
      <c r="E15" s="47"/>
      <c r="J15" s="13"/>
      <c r="K15" s="30"/>
      <c r="X15" s="67">
        <f>'Reference Prices'!B48</f>
        <v>8</v>
      </c>
      <c r="Y15" s="73" t="str">
        <f>'Reference Prices'!C48</f>
        <v>AC Cable from String 
Inverters to AC Combiner Box</v>
      </c>
      <c r="Z15" s="68" t="str">
        <f>'Reference Prices'!E48</f>
        <v>6 Sq.mm, 4 Core, Unarmoured</v>
      </c>
      <c r="AA15" s="55">
        <f>'Reference Prices'!G48</f>
        <v>40</v>
      </c>
      <c r="AB15" s="69" t="str">
        <f>'Reference Prices'!H48</f>
        <v>Meters</v>
      </c>
      <c r="AC15" s="418">
        <f>'Reference Prices'!I48</f>
        <v>350</v>
      </c>
      <c r="AD15" s="418">
        <f>'Reference Prices'!J48</f>
        <v>0</v>
      </c>
      <c r="AE15" s="418">
        <f>'Reference Prices'!K48</f>
        <v>14000</v>
      </c>
      <c r="AG15" s="82"/>
      <c r="AN15" s="50"/>
    </row>
    <row r="16" spans="2:43" ht="30" customHeight="1" thickBot="1">
      <c r="E16" s="13"/>
      <c r="J16" s="13"/>
      <c r="K16" s="30"/>
      <c r="X16" s="67">
        <f>'Reference Prices'!B49</f>
        <v>9</v>
      </c>
      <c r="Y16" s="66" t="str">
        <f>'Reference Prices'!C49</f>
        <v>DC MCB-String</v>
      </c>
      <c r="Z16" s="68" t="str">
        <f>'Reference Prices'!E49</f>
        <v>20A/1000V</v>
      </c>
      <c r="AA16" s="55">
        <f>'Reference Prices'!G49</f>
        <v>13</v>
      </c>
      <c r="AB16" s="69" t="str">
        <f>'Reference Prices'!H49</f>
        <v>Pcs.</v>
      </c>
      <c r="AC16" s="418">
        <f>'Reference Prices'!I49</f>
        <v>3578</v>
      </c>
      <c r="AD16" s="418">
        <f>'Reference Prices'!J49</f>
        <v>0</v>
      </c>
      <c r="AE16" s="418">
        <f>'Reference Prices'!K49</f>
        <v>46514</v>
      </c>
      <c r="AG16" s="82"/>
      <c r="AN16" s="50"/>
    </row>
    <row r="17" spans="2:43" ht="30" customHeight="1" thickBot="1">
      <c r="B17" s="51"/>
      <c r="C17" s="599" t="s">
        <v>58</v>
      </c>
      <c r="D17" s="600"/>
      <c r="E17" s="600"/>
      <c r="F17" s="600"/>
      <c r="G17" s="600"/>
      <c r="H17" s="600"/>
      <c r="I17" s="601"/>
      <c r="J17" s="26"/>
      <c r="S17" s="52"/>
      <c r="X17" s="67">
        <f>'Reference Prices'!B50</f>
        <v>10</v>
      </c>
      <c r="Y17" s="66" t="str">
        <f>'Reference Prices'!C50</f>
        <v>AC MCB/MCCB-25kA</v>
      </c>
      <c r="Z17" s="68" t="str">
        <f>'Reference Prices'!E50</f>
        <v>63 Amp</v>
      </c>
      <c r="AA17" s="55">
        <f>'Reference Prices'!G50</f>
        <v>5</v>
      </c>
      <c r="AB17" s="69" t="str">
        <f>'Reference Prices'!H50</f>
        <v>Pcs.</v>
      </c>
      <c r="AC17" s="418">
        <f>'Reference Prices'!I50</f>
        <v>6386</v>
      </c>
      <c r="AD17" s="418">
        <f>'Reference Prices'!J50</f>
        <v>0</v>
      </c>
      <c r="AE17" s="418">
        <f>'Reference Prices'!K50</f>
        <v>31930</v>
      </c>
      <c r="AG17" s="82"/>
      <c r="AN17" s="50"/>
    </row>
    <row r="18" spans="2:43" ht="30" customHeight="1" thickBot="1">
      <c r="B18" s="45"/>
      <c r="C18" s="31" t="s">
        <v>599</v>
      </c>
      <c r="D18" s="578" t="str">
        <f>'2. Inputs'!D13</f>
        <v>Commercial</v>
      </c>
      <c r="E18" s="579"/>
      <c r="J18" s="13"/>
      <c r="X18" s="67">
        <f>'Reference Prices'!B51</f>
        <v>11</v>
      </c>
      <c r="Y18" s="66" t="str">
        <f>'Reference Prices'!C51</f>
        <v>PV Combiner Box</v>
      </c>
      <c r="Z18" s="68" t="str">
        <f>'Reference Prices'!E51</f>
        <v>IP66 with in-built SPD</v>
      </c>
      <c r="AA18" s="55">
        <f>'Reference Prices'!G51</f>
        <v>2</v>
      </c>
      <c r="AB18" s="69" t="str">
        <f>'Reference Prices'!H51</f>
        <v>Pcs.</v>
      </c>
      <c r="AC18" s="418">
        <f>'Reference Prices'!I51</f>
        <v>10700</v>
      </c>
      <c r="AD18" s="418">
        <f>'Reference Prices'!J51</f>
        <v>0</v>
      </c>
      <c r="AE18" s="418">
        <f>'Reference Prices'!K51</f>
        <v>21400</v>
      </c>
      <c r="AG18" s="82"/>
      <c r="AN18" s="50"/>
    </row>
    <row r="19" spans="2:43" ht="30" customHeight="1" thickBot="1">
      <c r="B19" s="45"/>
      <c r="C19" s="31" t="s">
        <v>61</v>
      </c>
      <c r="D19" s="53" t="str">
        <f>'2. Inputs'!D26</f>
        <v>GI Truss Based Structure</v>
      </c>
      <c r="E19" s="54"/>
      <c r="G19" s="45"/>
      <c r="H19" s="31" t="s">
        <v>63</v>
      </c>
      <c r="I19" s="485">
        <f>ROUNDUP(IF('2. Inputs'!D15="RCC roof", D23*8.5, D23*7.5),0)</f>
        <v>754</v>
      </c>
      <c r="J19" s="47" t="s">
        <v>64</v>
      </c>
      <c r="X19" s="67">
        <f>'Reference Prices'!B52</f>
        <v>12</v>
      </c>
      <c r="Y19" s="66" t="str">
        <f>'Reference Prices'!C52</f>
        <v>Lightning Arrestor</v>
      </c>
      <c r="Z19" s="68" t="str">
        <f>'Reference Prices'!E52</f>
        <v>ESE Type</v>
      </c>
      <c r="AA19" s="55">
        <f>'Reference Prices'!G52</f>
        <v>1</v>
      </c>
      <c r="AB19" s="69" t="str">
        <f>'Reference Prices'!H52</f>
        <v>Pcs.</v>
      </c>
      <c r="AC19" s="418">
        <f>'Reference Prices'!I52</f>
        <v>85000</v>
      </c>
      <c r="AD19" s="418">
        <f>'Reference Prices'!J52</f>
        <v>0</v>
      </c>
      <c r="AE19" s="418">
        <f>'Reference Prices'!K52</f>
        <v>85000</v>
      </c>
      <c r="AG19" s="82"/>
      <c r="AN19" s="50"/>
    </row>
    <row r="20" spans="2:43" ht="30" customHeight="1" thickBot="1">
      <c r="B20" s="45"/>
      <c r="C20" s="31" t="str">
        <f>IF('2. Inputs'!C28="Required Size of the system (kW)", "Required Size of the System:", "No Input")</f>
        <v>Required Size of the System:</v>
      </c>
      <c r="D20" s="482">
        <f>IF('2. Inputs'!C28= "Required Size of the system (kW)",'2. Inputs'!D28, "No Input")</f>
        <v>100</v>
      </c>
      <c r="E20" s="58" t="s">
        <v>62</v>
      </c>
      <c r="G20" s="45"/>
      <c r="H20" s="31" t="s">
        <v>213</v>
      </c>
      <c r="I20" s="55" t="str">
        <f>IF(I19&lt;'2. Inputs'!D24, "Yes","No")</f>
        <v>Yes</v>
      </c>
      <c r="J20" s="58"/>
      <c r="X20" s="67">
        <f>'Reference Prices'!B53</f>
        <v>13</v>
      </c>
      <c r="Y20" s="66" t="str">
        <f>'Reference Prices'!C53</f>
        <v>Earthing rod</v>
      </c>
      <c r="Z20" s="68" t="str">
        <f>'Reference Prices'!E53</f>
        <v>Chemical Earthing</v>
      </c>
      <c r="AA20" s="55">
        <f>'Reference Prices'!G53</f>
        <v>4</v>
      </c>
      <c r="AB20" s="69" t="str">
        <f>'Reference Prices'!H53</f>
        <v>Pcs.</v>
      </c>
      <c r="AC20" s="418">
        <f>'Reference Prices'!I53</f>
        <v>10000</v>
      </c>
      <c r="AD20" s="418">
        <f>'Reference Prices'!J53</f>
        <v>0</v>
      </c>
      <c r="AE20" s="418">
        <f>'Reference Prices'!K53</f>
        <v>40000</v>
      </c>
      <c r="AG20" s="82"/>
      <c r="AH20" s="48"/>
      <c r="AI20" s="32"/>
      <c r="AJ20" s="49"/>
      <c r="AL20" s="42"/>
      <c r="AM20" s="50"/>
      <c r="AN20" s="50"/>
    </row>
    <row r="21" spans="2:43" ht="30" customHeight="1" thickBot="1">
      <c r="X21" s="67">
        <f>'Reference Prices'!B54</f>
        <v>13</v>
      </c>
      <c r="Y21" s="66" t="str">
        <f>'Reference Prices'!C54</f>
        <v>Copper Strip &amp; Insulators</v>
      </c>
      <c r="Z21" s="68" t="str">
        <f>'Reference Prices'!E54</f>
        <v>25 x 5, Approx, 1.5 mtr. =1kg</v>
      </c>
      <c r="AA21" s="55">
        <f>'Reference Prices'!G54</f>
        <v>27</v>
      </c>
      <c r="AB21" s="69" t="str">
        <f>'Reference Prices'!H54</f>
        <v>kg</v>
      </c>
      <c r="AC21" s="418">
        <f>'Reference Prices'!I54</f>
        <v>1082</v>
      </c>
      <c r="AD21" s="418">
        <f>'Reference Prices'!J54</f>
        <v>0</v>
      </c>
      <c r="AE21" s="418">
        <f>'Reference Prices'!K54</f>
        <v>29214</v>
      </c>
      <c r="AG21" s="82"/>
      <c r="AM21" s="438"/>
    </row>
    <row r="22" spans="2:43" ht="30" customHeight="1" thickBot="1">
      <c r="B22" s="51"/>
      <c r="C22" s="599" t="s">
        <v>67</v>
      </c>
      <c r="D22" s="600"/>
      <c r="E22" s="600"/>
      <c r="F22" s="600"/>
      <c r="G22" s="600"/>
      <c r="H22" s="600"/>
      <c r="I22" s="601"/>
      <c r="J22" s="26"/>
      <c r="X22" s="67">
        <f>'Reference Prices'!B55</f>
        <v>14</v>
      </c>
      <c r="Y22" s="66" t="str">
        <f>'Reference Prices'!C55</f>
        <v>Installation Accessories</v>
      </c>
      <c r="Z22" s="68" t="str">
        <f>'Reference Prices'!E55</f>
        <v>nut bolts, cable tie, tapes, conduits, cable tray etc.</v>
      </c>
      <c r="AA22" s="55">
        <f>'Reference Prices'!G55</f>
        <v>1</v>
      </c>
      <c r="AB22" s="69" t="str">
        <f>'Reference Prices'!H55</f>
        <v>LS</v>
      </c>
      <c r="AC22" s="418">
        <f>'Reference Prices'!I55</f>
        <v>606000</v>
      </c>
      <c r="AD22" s="418">
        <f>'Reference Prices'!J55</f>
        <v>0</v>
      </c>
      <c r="AE22" s="418">
        <f>'Reference Prices'!K55</f>
        <v>606000</v>
      </c>
      <c r="AG22" s="82"/>
    </row>
    <row r="23" spans="2:43" ht="30" customHeight="1" thickBot="1">
      <c r="B23" s="45"/>
      <c r="C23" s="31" t="s">
        <v>69</v>
      </c>
      <c r="D23" s="56">
        <f>'Backend Design'!C39</f>
        <v>100.45</v>
      </c>
      <c r="E23" s="58" t="s">
        <v>62</v>
      </c>
      <c r="G23" s="60"/>
      <c r="H23" s="31" t="s">
        <v>73</v>
      </c>
      <c r="I23" s="53" t="str">
        <f>IF('2. Inputs'!D34="Required","Present","Not Present")</f>
        <v>Present</v>
      </c>
      <c r="J23" s="54"/>
      <c r="X23" s="67">
        <f>'Reference Prices'!B56</f>
        <v>15</v>
      </c>
      <c r="Y23" s="73" t="str">
        <f>'Reference Prices'!C56</f>
        <v>Installation Labor &amp; Transportation</v>
      </c>
      <c r="Z23" s="68" t="str">
        <f>'Reference Prices'!E56</f>
        <v>Skilled, Semi-Skilled Technician, Engineer etc.</v>
      </c>
      <c r="AA23" s="55">
        <f>'Reference Prices'!G56</f>
        <v>1</v>
      </c>
      <c r="AB23" s="69" t="str">
        <f>'Reference Prices'!H56</f>
        <v>Ls</v>
      </c>
      <c r="AC23" s="418">
        <f>'Reference Prices'!I56</f>
        <v>505000</v>
      </c>
      <c r="AD23" s="418">
        <f>'Reference Prices'!J56</f>
        <v>0</v>
      </c>
      <c r="AE23" s="418">
        <f>'Reference Prices'!K56</f>
        <v>505000</v>
      </c>
      <c r="AG23" s="82"/>
      <c r="AH23" s="586" t="s">
        <v>655</v>
      </c>
      <c r="AI23" s="437"/>
      <c r="AJ23" s="443" t="s">
        <v>656</v>
      </c>
      <c r="AK23" s="434"/>
      <c r="AL23" s="84"/>
      <c r="AN23" s="442" t="s">
        <v>656</v>
      </c>
      <c r="AO23" s="84"/>
      <c r="AP23" s="84"/>
    </row>
    <row r="24" spans="2:43" ht="30" customHeight="1" thickBot="1">
      <c r="B24" s="45"/>
      <c r="C24" s="31" t="s">
        <v>70</v>
      </c>
      <c r="D24" s="57">
        <f>'Backend Design'!C21</f>
        <v>25</v>
      </c>
      <c r="E24" s="58" t="s">
        <v>57</v>
      </c>
      <c r="G24" s="61"/>
      <c r="H24" s="31" t="s">
        <v>74</v>
      </c>
      <c r="I24" s="418">
        <f>'Backend Design'!C46</f>
        <v>154969.23749999999</v>
      </c>
      <c r="J24" s="47" t="s">
        <v>75</v>
      </c>
      <c r="X24" s="67">
        <f>'Reference Prices'!B57</f>
        <v>16</v>
      </c>
      <c r="Y24" s="66" t="str">
        <f>'Reference Prices'!C57</f>
        <v>Contigency-5%</v>
      </c>
      <c r="Z24" s="68" t="str">
        <f>'Reference Prices'!E57</f>
        <v>5% of the total cost</v>
      </c>
      <c r="AA24" s="55">
        <f>'Reference Prices'!G57</f>
        <v>1</v>
      </c>
      <c r="AB24" s="69">
        <f>'Reference Prices'!H57</f>
        <v>0</v>
      </c>
      <c r="AC24" s="418">
        <f>'Reference Prices'!I57</f>
        <v>0</v>
      </c>
      <c r="AD24" s="418">
        <f>'Reference Prices'!J57</f>
        <v>294750</v>
      </c>
      <c r="AE24" s="418">
        <f>'Reference Prices'!K57</f>
        <v>119635.15000000001</v>
      </c>
      <c r="AG24" s="82"/>
      <c r="AH24" s="587"/>
      <c r="AJ24" s="444" t="s">
        <v>657</v>
      </c>
      <c r="AK24" s="444" t="s">
        <v>649</v>
      </c>
      <c r="AL24" s="444" t="s">
        <v>650</v>
      </c>
      <c r="AN24" s="460" t="s">
        <v>657</v>
      </c>
      <c r="AO24" s="444" t="s">
        <v>649</v>
      </c>
      <c r="AP24" s="444" t="s">
        <v>650</v>
      </c>
    </row>
    <row r="25" spans="2:43" ht="30" customHeight="1" thickBot="1">
      <c r="B25" s="45"/>
      <c r="C25" s="31" t="s">
        <v>71</v>
      </c>
      <c r="D25" s="482">
        <f>'Backend Design'!C22</f>
        <v>4</v>
      </c>
      <c r="E25" s="58" t="s">
        <v>72</v>
      </c>
      <c r="J25" s="13"/>
      <c r="M25" s="45"/>
      <c r="N25" s="31" t="s">
        <v>56</v>
      </c>
      <c r="O25" s="56">
        <f>D23</f>
        <v>100.45</v>
      </c>
      <c r="P25" s="47" t="s">
        <v>57</v>
      </c>
      <c r="R25" s="45"/>
      <c r="S25" s="31" t="s">
        <v>59</v>
      </c>
      <c r="T25" s="57">
        <f>D24</f>
        <v>25</v>
      </c>
      <c r="U25" s="47" t="s">
        <v>57</v>
      </c>
      <c r="X25" s="48"/>
      <c r="Y25" s="48"/>
      <c r="Z25" s="49"/>
      <c r="AA25" s="48"/>
      <c r="AB25" s="48"/>
      <c r="AC25" s="70" t="s">
        <v>65</v>
      </c>
      <c r="AD25" s="71">
        <f>'Reference Prices'!J58</f>
        <v>6189750</v>
      </c>
      <c r="AE25" s="417">
        <f>'Reference Prices'!K58</f>
        <v>2512338.15</v>
      </c>
      <c r="AG25" s="82"/>
      <c r="AH25" s="587"/>
      <c r="AJ25" s="68" t="s">
        <v>526</v>
      </c>
      <c r="AK25" s="489">
        <f ca="1">'Backend Finance'!D511</f>
        <v>-68917.198966440294</v>
      </c>
      <c r="AL25" s="68" t="s">
        <v>659</v>
      </c>
      <c r="AN25" s="461" t="s">
        <v>514</v>
      </c>
      <c r="AO25" s="441">
        <f>'Backend Finance'!D508</f>
        <v>9.9047693915425616E-2</v>
      </c>
      <c r="AP25" s="68" t="s">
        <v>658</v>
      </c>
    </row>
    <row r="26" spans="2:43" ht="30" customHeight="1" thickBot="1">
      <c r="C26" s="30"/>
      <c r="D26" s="62"/>
      <c r="F26" s="62"/>
      <c r="G26" s="62"/>
      <c r="H26" s="62"/>
      <c r="I26" s="62"/>
      <c r="M26" s="45"/>
      <c r="N26" s="31" t="s">
        <v>60</v>
      </c>
      <c r="O26" s="59" t="str">
        <f>'Reference Prices'!E50</f>
        <v>63 Amp</v>
      </c>
      <c r="P26" s="47"/>
      <c r="R26" s="45"/>
      <c r="S26" s="31" t="s">
        <v>215</v>
      </c>
      <c r="T26" s="57" t="str">
        <f>CONCATENATE(D25, " Nos.")</f>
        <v>4 Nos.</v>
      </c>
      <c r="U26" s="47"/>
      <c r="X26" s="48"/>
      <c r="Y26" s="48"/>
      <c r="Z26" s="49"/>
      <c r="AA26" s="48"/>
      <c r="AB26" s="48"/>
      <c r="AC26" s="29"/>
      <c r="AD26" s="50"/>
      <c r="AE26" s="50"/>
      <c r="AG26" s="82"/>
      <c r="AH26" s="587"/>
      <c r="AJ26" s="68" t="s">
        <v>527</v>
      </c>
      <c r="AK26" s="489">
        <f ca="1">'Backend Finance'!D512</f>
        <v>-57338.138700016672</v>
      </c>
      <c r="AL26" s="68" t="s">
        <v>659</v>
      </c>
      <c r="AM26" s="439"/>
      <c r="AN26" s="461" t="s">
        <v>515</v>
      </c>
      <c r="AO26" s="441">
        <f>'Backend Finance'!D509</f>
        <v>9.9047693915425616E-2</v>
      </c>
      <c r="AP26" s="68" t="s">
        <v>658</v>
      </c>
    </row>
    <row r="27" spans="2:43" ht="30" customHeight="1" thickBot="1">
      <c r="B27" s="51"/>
      <c r="C27" s="599" t="s">
        <v>76</v>
      </c>
      <c r="D27" s="600"/>
      <c r="E27" s="600"/>
      <c r="F27" s="600"/>
      <c r="G27" s="600"/>
      <c r="H27" s="600"/>
      <c r="I27" s="601"/>
      <c r="J27" s="26"/>
      <c r="X27" s="48"/>
      <c r="Y27" s="48"/>
      <c r="Z27" s="49"/>
      <c r="AA27" s="48"/>
      <c r="AB27" s="48"/>
      <c r="AD27" s="70" t="s">
        <v>66</v>
      </c>
      <c r="AE27" s="418">
        <f>'Reference Prices'!K59</f>
        <v>326603.9595</v>
      </c>
      <c r="AG27" s="82"/>
      <c r="AH27" s="587"/>
      <c r="AJ27" s="68" t="s">
        <v>529</v>
      </c>
      <c r="AK27" s="490">
        <f ca="1">'Backend Finance'!D513</f>
        <v>0</v>
      </c>
      <c r="AL27" s="68" t="s">
        <v>261</v>
      </c>
      <c r="AM27" s="437"/>
      <c r="AN27" s="461" t="s">
        <v>532</v>
      </c>
      <c r="AO27" s="441" t="str">
        <f ca="1">'Backend Finance'!D510</f>
        <v>Less than 1</v>
      </c>
      <c r="AP27" s="68" t="s">
        <v>533</v>
      </c>
    </row>
    <row r="28" spans="2:43" ht="30" customHeight="1" thickBot="1">
      <c r="B28" s="45"/>
      <c r="C28" s="31" t="s">
        <v>77</v>
      </c>
      <c r="D28" s="484">
        <f>'Reference Prices'!K60</f>
        <v>6516353.9594999999</v>
      </c>
      <c r="E28" s="47" t="s">
        <v>117</v>
      </c>
      <c r="G28" s="63"/>
      <c r="H28" s="31" t="s">
        <v>211</v>
      </c>
      <c r="I28" s="418">
        <f>ROUNDUP((50/1000)*I24,0)</f>
        <v>7749</v>
      </c>
      <c r="J28" s="47" t="s">
        <v>210</v>
      </c>
      <c r="M28" s="592"/>
      <c r="N28" s="593"/>
      <c r="O28" s="593"/>
      <c r="P28" s="593"/>
      <c r="Q28" s="593"/>
      <c r="R28" s="593"/>
      <c r="S28" s="593"/>
      <c r="T28" s="593"/>
      <c r="U28" s="594"/>
      <c r="X28" s="48"/>
      <c r="Y28" s="48"/>
      <c r="Z28" s="49"/>
      <c r="AA28" s="48"/>
      <c r="AB28" s="48"/>
      <c r="AH28" s="587"/>
      <c r="AJ28" s="68" t="s">
        <v>534</v>
      </c>
      <c r="AK28" s="491">
        <f ca="1">Equity_IRR</f>
        <v>0</v>
      </c>
      <c r="AL28" s="68" t="s">
        <v>261</v>
      </c>
      <c r="AM28" s="83"/>
      <c r="AN28" s="461" t="s">
        <v>666</v>
      </c>
      <c r="AO28" s="68">
        <f>'Backend Finance'!D21</f>
        <v>0</v>
      </c>
      <c r="AP28" s="68" t="s">
        <v>261</v>
      </c>
    </row>
    <row r="29" spans="2:43" ht="30" customHeight="1" thickBot="1">
      <c r="B29" s="45"/>
      <c r="C29" s="31" t="s">
        <v>78</v>
      </c>
      <c r="D29" s="483">
        <f>'Reference Prices'!J39</f>
        <v>65</v>
      </c>
      <c r="E29" s="47" t="s">
        <v>79</v>
      </c>
      <c r="J29" s="13"/>
      <c r="Q29" s="64"/>
      <c r="R29" s="64"/>
      <c r="S29" s="65"/>
      <c r="T29" s="65"/>
      <c r="U29" s="65"/>
      <c r="X29" s="503" t="s">
        <v>692</v>
      </c>
      <c r="AD29" s="70" t="s">
        <v>68</v>
      </c>
      <c r="AE29" s="417">
        <f>'Reference Prices'!K60</f>
        <v>6516353.9594999999</v>
      </c>
      <c r="AH29" s="588"/>
      <c r="AI29" s="437"/>
      <c r="AJ29" s="68" t="s">
        <v>660</v>
      </c>
      <c r="AK29" s="492">
        <f ca="1">Equity_Payback</f>
        <v>0</v>
      </c>
      <c r="AL29" s="68" t="s">
        <v>661</v>
      </c>
      <c r="AN29" s="472" t="s">
        <v>665</v>
      </c>
      <c r="AO29" s="473">
        <f>Interest_Rate</f>
        <v>0.12</v>
      </c>
      <c r="AP29" s="80" t="s">
        <v>261</v>
      </c>
      <c r="AQ29" s="435"/>
    </row>
    <row r="30" spans="2:43" ht="25.5" customHeight="1" thickBot="1">
      <c r="E30" s="13"/>
      <c r="J30" s="13"/>
      <c r="AJ30" s="68" t="s">
        <v>675</v>
      </c>
      <c r="AK30" s="490">
        <f ca="1">'Backend Finance'!D517</f>
        <v>-4.2515499134651302E-2</v>
      </c>
      <c r="AL30" s="68" t="s">
        <v>261</v>
      </c>
      <c r="AM30" s="82"/>
      <c r="AN30" s="456"/>
      <c r="AO30" s="456"/>
      <c r="AP30" s="456"/>
      <c r="AQ30" s="456"/>
    </row>
    <row r="31" spans="2:43" ht="25.5" customHeight="1" thickBot="1">
      <c r="B31" s="82"/>
      <c r="C31" s="456"/>
      <c r="D31" s="456"/>
      <c r="E31" s="456"/>
      <c r="F31" s="456"/>
      <c r="G31" s="456"/>
      <c r="H31" s="456"/>
      <c r="I31" s="456"/>
      <c r="J31" s="456"/>
      <c r="K31" s="456"/>
      <c r="L31" s="456"/>
      <c r="M31" s="456"/>
      <c r="N31" s="456"/>
      <c r="O31" s="456"/>
      <c r="P31" s="456"/>
      <c r="Q31" s="456"/>
      <c r="R31" s="456"/>
      <c r="S31" s="456"/>
      <c r="T31" s="456"/>
      <c r="U31" s="456"/>
      <c r="V31" s="456"/>
      <c r="W31" s="456"/>
      <c r="X31" s="456"/>
      <c r="Y31" s="456"/>
      <c r="Z31" s="456"/>
      <c r="AA31" s="456"/>
      <c r="AB31" s="456"/>
      <c r="AC31" s="456"/>
      <c r="AD31" s="456"/>
      <c r="AE31" s="456"/>
      <c r="AF31" s="456"/>
      <c r="AG31" s="456"/>
      <c r="AH31" s="456"/>
      <c r="AI31" s="456"/>
      <c r="AJ31" s="456"/>
      <c r="AK31" s="456"/>
      <c r="AL31" s="456"/>
      <c r="AM31" s="456"/>
      <c r="AN31" s="456"/>
      <c r="AO31" s="456"/>
      <c r="AP31" s="456"/>
      <c r="AQ31" s="456"/>
    </row>
    <row r="32" spans="2:43" ht="15" customHeight="1" thickBot="1">
      <c r="B32" s="580"/>
      <c r="C32" s="581"/>
      <c r="D32" s="581"/>
      <c r="E32" s="581"/>
      <c r="F32" s="581"/>
      <c r="G32" s="581"/>
      <c r="H32" s="581"/>
      <c r="I32" s="581"/>
      <c r="J32" s="582"/>
      <c r="M32" s="580"/>
      <c r="N32" s="581"/>
      <c r="O32" s="581"/>
      <c r="P32" s="581"/>
      <c r="Q32" s="581"/>
      <c r="R32" s="581"/>
      <c r="S32" s="581"/>
      <c r="T32" s="581"/>
      <c r="U32" s="582"/>
      <c r="X32" s="580"/>
      <c r="Y32" s="581"/>
      <c r="Z32" s="581"/>
      <c r="AA32" s="581"/>
      <c r="AB32" s="581"/>
      <c r="AC32" s="581"/>
      <c r="AD32" s="581"/>
      <c r="AE32" s="582"/>
      <c r="AH32" s="580"/>
      <c r="AI32" s="581"/>
      <c r="AJ32" s="581"/>
      <c r="AK32" s="581"/>
      <c r="AL32" s="581"/>
      <c r="AM32" s="581"/>
      <c r="AN32" s="597"/>
      <c r="AO32" s="597"/>
      <c r="AP32" s="598"/>
      <c r="AQ32" s="83"/>
    </row>
    <row r="33" spans="9:42" ht="15" customHeight="1" thickBot="1">
      <c r="I33" s="595" t="s">
        <v>670</v>
      </c>
      <c r="J33" s="596"/>
      <c r="U33" s="74" t="s">
        <v>669</v>
      </c>
      <c r="AE33" s="74" t="s">
        <v>668</v>
      </c>
      <c r="AP33" s="74" t="s">
        <v>667</v>
      </c>
    </row>
    <row r="36" spans="9:42" ht="15" thickBot="1">
      <c r="AE36" s="589"/>
      <c r="AF36" s="590"/>
      <c r="AG36" s="590"/>
      <c r="AH36" s="590"/>
      <c r="AI36" s="590"/>
      <c r="AJ36" s="590"/>
      <c r="AK36" s="591"/>
      <c r="AL36" s="449"/>
    </row>
    <row r="38" spans="9:42" thickBot="1">
      <c r="AE38" s="450"/>
      <c r="AF38" s="451"/>
    </row>
    <row r="39" spans="9:42" thickBot="1">
      <c r="AE39" s="450"/>
      <c r="AF39" s="452"/>
      <c r="AG39" s="453"/>
    </row>
    <row r="41" spans="9:42" ht="15" thickBot="1">
      <c r="AD41" s="437"/>
      <c r="AE41" s="446"/>
      <c r="AF41" s="447"/>
      <c r="AG41" s="448"/>
      <c r="AH41" s="446"/>
      <c r="AJ41" s="49"/>
      <c r="AK41" s="49"/>
      <c r="AL41" s="49"/>
    </row>
    <row r="54" spans="22:22" thickBot="1">
      <c r="V54" s="44"/>
    </row>
    <row r="66" spans="13:22" thickBot="1">
      <c r="V66" s="65"/>
    </row>
    <row r="69" spans="13:22" thickBot="1">
      <c r="M69" s="64"/>
    </row>
  </sheetData>
  <sheetProtection algorithmName="SHA-512" hashValue="oozUXG1TS2EOlBjFyxpMCJ5xSGmt2oDcmzUbDx3zOpUzM7wty8WGFkrAaQPPHs6W4AU+MCwi2+1i85LpOCbCVA==" saltValue="rvCDXDoFaeE8wAX0NbG+WQ==" spinCount="100000" sheet="1" formatCells="0"/>
  <mergeCells count="20">
    <mergeCell ref="AE36:AK36"/>
    <mergeCell ref="M28:U28"/>
    <mergeCell ref="X3:AE3"/>
    <mergeCell ref="I33:J33"/>
    <mergeCell ref="AH32:AP32"/>
    <mergeCell ref="C22:I22"/>
    <mergeCell ref="AH5:AH11"/>
    <mergeCell ref="AH3:AP3"/>
    <mergeCell ref="B3:J3"/>
    <mergeCell ref="B32:J32"/>
    <mergeCell ref="C17:I17"/>
    <mergeCell ref="C9:I9"/>
    <mergeCell ref="D7:I7"/>
    <mergeCell ref="D6:I6"/>
    <mergeCell ref="C27:I27"/>
    <mergeCell ref="D18:E18"/>
    <mergeCell ref="M32:U32"/>
    <mergeCell ref="X32:AE32"/>
    <mergeCell ref="M3:U3"/>
    <mergeCell ref="AH23:AH29"/>
  </mergeCells>
  <printOptions horizontalCentered="1"/>
  <pageMargins left="0.7" right="0.7" top="0.75" bottom="0.75" header="0.3" footer="0.3"/>
  <pageSetup paperSize="9" scale="64" orientation="portrait" r:id="rId1"/>
  <colBreaks count="3" manualBreakCount="3">
    <brk id="11" max="32" man="1"/>
    <brk id="22" max="32" man="1"/>
    <brk id="32" max="3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D23A6-3799-46DB-B7DE-C59BE709F927}">
  <sheetPr codeName="Sheet5">
    <tabColor theme="1" tint="0.34998626667073579"/>
  </sheetPr>
  <dimension ref="A1:GV450"/>
  <sheetViews>
    <sheetView zoomScale="90" zoomScaleNormal="90" zoomScaleSheetLayoutView="40" workbookViewId="0">
      <selection activeCell="A3" sqref="A3"/>
    </sheetView>
  </sheetViews>
  <sheetFormatPr defaultColWidth="8.453125" defaultRowHeight="15" thickBottom="1"/>
  <cols>
    <col min="1" max="1" width="3.81640625" style="13" customWidth="1"/>
    <col min="2" max="2" width="48.453125" customWidth="1"/>
    <col min="3" max="3" width="19.453125" customWidth="1"/>
    <col min="4" max="4" width="7" style="13" customWidth="1"/>
    <col min="5" max="5" width="75.453125" style="13" customWidth="1"/>
    <col min="6" max="6" width="4.453125" style="13" customWidth="1"/>
    <col min="7" max="7" width="75.453125" style="13" customWidth="1"/>
    <col min="8" max="204" width="8.453125" style="13"/>
  </cols>
  <sheetData>
    <row r="1" spans="1:204" ht="25.5" customHeight="1" thickBot="1">
      <c r="A1" s="501"/>
      <c r="B1" s="501"/>
      <c r="C1" s="501"/>
      <c r="D1" s="501"/>
      <c r="E1" s="501"/>
      <c r="F1" s="501"/>
      <c r="G1" s="501"/>
      <c r="H1" s="81"/>
    </row>
    <row r="2" spans="1:204" ht="35" customHeight="1" thickBot="1">
      <c r="A2" s="518"/>
      <c r="B2" s="612" t="s">
        <v>698</v>
      </c>
      <c r="C2" s="612"/>
      <c r="D2" s="612"/>
      <c r="E2" s="612"/>
      <c r="F2" s="519"/>
      <c r="G2" s="83"/>
    </row>
    <row r="3" spans="1:204" ht="25.5" customHeight="1" thickBot="1">
      <c r="A3" s="502"/>
      <c r="B3" s="501"/>
      <c r="C3" s="501"/>
      <c r="D3" s="501"/>
      <c r="E3" s="501"/>
      <c r="F3" s="521"/>
    </row>
    <row r="4" spans="1:204" ht="35" customHeight="1" thickBot="1">
      <c r="B4" s="615" t="s">
        <v>118</v>
      </c>
      <c r="C4" s="616"/>
      <c r="D4" s="83"/>
      <c r="E4" s="520" t="s">
        <v>682</v>
      </c>
    </row>
    <row r="5" spans="1:204" s="10" customFormat="1" ht="25" customHeight="1" thickBot="1">
      <c r="A5" s="13"/>
      <c r="B5" s="77" t="s">
        <v>119</v>
      </c>
      <c r="C5" s="77" t="s">
        <v>120</v>
      </c>
      <c r="D5" s="13"/>
      <c r="E5" s="85"/>
      <c r="F5" s="86"/>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c r="GA5" s="13"/>
      <c r="GB5" s="13"/>
      <c r="GC5" s="13"/>
      <c r="GD5" s="13"/>
      <c r="GE5" s="13"/>
      <c r="GF5" s="13"/>
      <c r="GG5" s="13"/>
      <c r="GH5" s="13"/>
      <c r="GI5" s="13"/>
      <c r="GJ5" s="13"/>
      <c r="GK5" s="13"/>
      <c r="GL5" s="13"/>
      <c r="GM5" s="13"/>
      <c r="GN5" s="13"/>
      <c r="GO5" s="13"/>
      <c r="GP5" s="13"/>
      <c r="GQ5" s="13"/>
      <c r="GR5" s="13"/>
      <c r="GS5" s="13"/>
      <c r="GT5" s="13"/>
      <c r="GU5" s="13"/>
      <c r="GV5" s="13"/>
    </row>
    <row r="6" spans="1:204" s="10" customFormat="1" ht="25" customHeight="1" thickBot="1">
      <c r="A6" s="13"/>
      <c r="B6" s="493" t="s">
        <v>121</v>
      </c>
      <c r="C6" s="462">
        <f>'2. Inputs'!D24</f>
        <v>10000</v>
      </c>
      <c r="D6" s="13"/>
      <c r="E6" s="85"/>
      <c r="F6" s="86"/>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c r="GA6" s="13"/>
      <c r="GB6" s="13"/>
      <c r="GC6" s="13"/>
      <c r="GD6" s="13"/>
      <c r="GE6" s="13"/>
      <c r="GF6" s="13"/>
      <c r="GG6" s="13"/>
      <c r="GH6" s="13"/>
      <c r="GI6" s="13"/>
      <c r="GJ6" s="13"/>
      <c r="GK6" s="13"/>
      <c r="GL6" s="13"/>
      <c r="GM6" s="13"/>
      <c r="GN6" s="13"/>
      <c r="GO6" s="13"/>
      <c r="GP6" s="13"/>
      <c r="GQ6" s="13"/>
      <c r="GR6" s="13"/>
      <c r="GS6" s="13"/>
      <c r="GT6" s="13"/>
      <c r="GU6" s="13"/>
      <c r="GV6" s="13"/>
    </row>
    <row r="7" spans="1:204" s="10" customFormat="1" ht="25" customHeight="1" thickBot="1">
      <c r="A7" s="13"/>
      <c r="B7" s="493" t="s">
        <v>122</v>
      </c>
      <c r="C7" s="462">
        <f>IF('2. Inputs'!C28="Required Size of the system (kW)",'2. Inputs'!D28,0)</f>
        <v>100</v>
      </c>
      <c r="D7" s="13"/>
      <c r="E7" s="85"/>
      <c r="F7" s="86"/>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c r="GA7" s="13"/>
      <c r="GB7" s="13"/>
      <c r="GC7" s="13"/>
      <c r="GD7" s="13"/>
      <c r="GE7" s="13"/>
      <c r="GF7" s="13"/>
      <c r="GG7" s="13"/>
      <c r="GH7" s="13"/>
      <c r="GI7" s="13"/>
      <c r="GJ7" s="13"/>
      <c r="GK7" s="13"/>
      <c r="GL7" s="13"/>
      <c r="GM7" s="13"/>
      <c r="GN7" s="13"/>
      <c r="GO7" s="13"/>
      <c r="GP7" s="13"/>
      <c r="GQ7" s="13"/>
      <c r="GR7" s="13"/>
      <c r="GS7" s="13"/>
      <c r="GT7" s="13"/>
      <c r="GU7" s="13"/>
      <c r="GV7" s="13"/>
    </row>
    <row r="8" spans="1:204" s="10" customFormat="1" ht="25" customHeight="1" thickBot="1">
      <c r="A8" s="13"/>
      <c r="B8" s="493" t="s">
        <v>123</v>
      </c>
      <c r="C8" s="68" t="str">
        <f>'2. Inputs'!D26</f>
        <v>GI Truss Based Structure</v>
      </c>
      <c r="D8" s="13"/>
      <c r="E8" s="85"/>
      <c r="F8" s="86"/>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c r="EQ8" s="13"/>
      <c r="ER8" s="13"/>
      <c r="ES8" s="13"/>
      <c r="ET8" s="13"/>
      <c r="EU8" s="13"/>
      <c r="EV8" s="13"/>
      <c r="EW8" s="13"/>
      <c r="EX8" s="13"/>
      <c r="EY8" s="13"/>
      <c r="EZ8" s="13"/>
      <c r="FA8" s="13"/>
      <c r="FB8" s="13"/>
      <c r="FC8" s="13"/>
      <c r="FD8" s="13"/>
      <c r="FE8" s="13"/>
      <c r="FF8" s="13"/>
      <c r="FG8" s="13"/>
      <c r="FH8" s="13"/>
      <c r="FI8" s="13"/>
      <c r="FJ8" s="13"/>
      <c r="FK8" s="13"/>
      <c r="FL8" s="13"/>
      <c r="FM8" s="13"/>
      <c r="FN8" s="13"/>
      <c r="FO8" s="13"/>
      <c r="FP8" s="13"/>
      <c r="FQ8" s="13"/>
      <c r="FR8" s="13"/>
      <c r="FS8" s="13"/>
      <c r="FT8" s="13"/>
      <c r="FU8" s="13"/>
      <c r="FV8" s="13"/>
      <c r="FW8" s="13"/>
      <c r="FX8" s="13"/>
      <c r="FY8" s="13"/>
      <c r="FZ8" s="13"/>
      <c r="GA8" s="13"/>
      <c r="GB8" s="13"/>
      <c r="GC8" s="13"/>
      <c r="GD8" s="13"/>
      <c r="GE8" s="13"/>
      <c r="GF8" s="13"/>
      <c r="GG8" s="13"/>
      <c r="GH8" s="13"/>
      <c r="GI8" s="13"/>
      <c r="GJ8" s="13"/>
      <c r="GK8" s="13"/>
      <c r="GL8" s="13"/>
      <c r="GM8" s="13"/>
      <c r="GN8" s="13"/>
      <c r="GO8" s="13"/>
      <c r="GP8" s="13"/>
      <c r="GQ8" s="13"/>
      <c r="GR8" s="13"/>
      <c r="GS8" s="13"/>
      <c r="GT8" s="13"/>
      <c r="GU8" s="13"/>
      <c r="GV8" s="13"/>
    </row>
    <row r="9" spans="1:204" ht="25" customHeight="1" thickBot="1">
      <c r="B9" s="86"/>
      <c r="C9" s="86"/>
      <c r="D9" s="86"/>
      <c r="E9" s="86"/>
      <c r="F9" s="86"/>
    </row>
    <row r="10" spans="1:204" ht="25" customHeight="1" thickBot="1">
      <c r="B10" s="613" t="s">
        <v>124</v>
      </c>
      <c r="C10" s="614"/>
      <c r="E10" s="87"/>
      <c r="F10" s="88"/>
    </row>
    <row r="11" spans="1:204" ht="25" customHeight="1" thickBot="1">
      <c r="B11" s="617" t="s">
        <v>125</v>
      </c>
      <c r="C11" s="618"/>
      <c r="E11" s="85"/>
      <c r="F11" s="23"/>
    </row>
    <row r="12" spans="1:204" ht="25" customHeight="1" thickBot="1">
      <c r="B12" s="493" t="s">
        <v>602</v>
      </c>
      <c r="C12" s="462">
        <f>C6/10</f>
        <v>1000</v>
      </c>
      <c r="E12" s="85"/>
      <c r="F12" s="23"/>
    </row>
    <row r="13" spans="1:204" ht="25" customHeight="1" thickBot="1">
      <c r="B13" s="617" t="s">
        <v>126</v>
      </c>
      <c r="C13" s="618"/>
      <c r="E13" s="85"/>
      <c r="F13" s="23"/>
    </row>
    <row r="14" spans="1:204" ht="25" customHeight="1" thickBot="1">
      <c r="B14" s="493" t="s">
        <v>127</v>
      </c>
      <c r="C14" s="462">
        <f>C7</f>
        <v>100</v>
      </c>
      <c r="E14" s="85"/>
      <c r="F14" s="23"/>
    </row>
    <row r="15" spans="1:204" ht="25" customHeight="1" thickBot="1">
      <c r="B15" s="86"/>
      <c r="C15" s="86"/>
      <c r="D15" s="86"/>
      <c r="E15" s="86"/>
      <c r="F15" s="23"/>
    </row>
    <row r="16" spans="1:204" ht="25" customHeight="1" thickBot="1">
      <c r="B16" s="613" t="s">
        <v>128</v>
      </c>
      <c r="C16" s="614"/>
      <c r="E16" s="87"/>
      <c r="F16" s="23"/>
    </row>
    <row r="17" spans="2:6" ht="25" customHeight="1" thickBot="1">
      <c r="B17" s="493" t="s">
        <v>129</v>
      </c>
      <c r="C17" s="462">
        <f>IF(C14=0,C12,C14)</f>
        <v>100</v>
      </c>
      <c r="E17" s="85"/>
      <c r="F17" s="23"/>
    </row>
    <row r="18" spans="2:6" ht="25" customHeight="1" thickBot="1">
      <c r="B18" s="86"/>
      <c r="C18" s="86"/>
      <c r="D18" s="86"/>
      <c r="E18" s="86"/>
      <c r="F18" s="23"/>
    </row>
    <row r="19" spans="2:6" ht="25" customHeight="1" thickBot="1">
      <c r="B19" s="613" t="s">
        <v>135</v>
      </c>
      <c r="C19" s="614"/>
      <c r="E19" s="87"/>
      <c r="F19" s="89"/>
    </row>
    <row r="20" spans="2:6" ht="25" customHeight="1" thickBot="1">
      <c r="B20" s="494" t="s">
        <v>136</v>
      </c>
      <c r="C20" s="462">
        <f>IF('2. Inputs'!D27="South (180°)", C17/1.25, C17/1.3)</f>
        <v>80</v>
      </c>
      <c r="E20" s="85"/>
      <c r="F20" s="86"/>
    </row>
    <row r="21" spans="2:6" ht="25" customHeight="1" thickBot="1">
      <c r="B21" s="493" t="s">
        <v>137</v>
      </c>
      <c r="C21" s="68">
        <f>VLOOKUP('Backend Values'!B14,'Backend Values'!B5:C13,2)</f>
        <v>25</v>
      </c>
      <c r="E21" s="85"/>
      <c r="F21" s="86"/>
    </row>
    <row r="22" spans="2:6" ht="25" customHeight="1" thickBot="1">
      <c r="B22" s="494" t="s">
        <v>138</v>
      </c>
      <c r="C22" s="68">
        <f>IF(C20&gt;=C21,ROUNDUP(C20/C21,0),1)</f>
        <v>4</v>
      </c>
      <c r="E22" s="85"/>
      <c r="F22" s="86"/>
    </row>
    <row r="23" spans="2:6" ht="25" customHeight="1" thickBot="1">
      <c r="B23" s="86"/>
      <c r="C23" s="86"/>
      <c r="D23" s="86"/>
      <c r="E23" s="86"/>
      <c r="F23" s="86"/>
    </row>
    <row r="24" spans="2:6" ht="25" customHeight="1" thickBot="1">
      <c r="B24" s="613" t="s">
        <v>139</v>
      </c>
      <c r="C24" s="614"/>
      <c r="E24" s="87"/>
      <c r="F24" s="86"/>
    </row>
    <row r="25" spans="2:6" ht="25" customHeight="1" thickBot="1">
      <c r="B25" s="493" t="s">
        <v>140</v>
      </c>
      <c r="C25" s="68">
        <f>ROUNDDOWN((3.6*50*'2. Inputs'!D41)/(1*'2. Inputs'!D38*16),0)</f>
        <v>4</v>
      </c>
      <c r="E25" s="85" t="s">
        <v>141</v>
      </c>
    </row>
    <row r="26" spans="2:6" ht="25" customHeight="1" thickBot="1">
      <c r="B26" s="494" t="s">
        <v>142</v>
      </c>
      <c r="C26" s="68">
        <f>IF('2. Inputs'!D33&lt;=35,2.5,(ROUNDDOWN((3.6*'2. Inputs'!D33*'2. Inputs'!D41)/(1*16*'2. Inputs'!D38),0)))</f>
        <v>4</v>
      </c>
      <c r="E26" s="85" t="s">
        <v>143</v>
      </c>
    </row>
    <row r="27" spans="2:6" ht="25" customHeight="1" thickBot="1">
      <c r="B27" s="86"/>
      <c r="C27" s="86"/>
      <c r="D27" s="86"/>
      <c r="E27" s="86"/>
      <c r="F27" s="86"/>
    </row>
    <row r="28" spans="2:6" ht="25" customHeight="1" thickBot="1">
      <c r="B28" s="613" t="s">
        <v>144</v>
      </c>
      <c r="C28" s="614"/>
      <c r="E28" s="87"/>
      <c r="F28" s="86"/>
    </row>
    <row r="29" spans="2:6" ht="25" customHeight="1" thickBot="1">
      <c r="B29" s="493" t="s">
        <v>145</v>
      </c>
      <c r="C29" s="462">
        <f>C21*1000</f>
        <v>25000</v>
      </c>
      <c r="E29" s="85"/>
      <c r="F29" s="86"/>
    </row>
    <row r="30" spans="2:6" ht="25" customHeight="1" thickBot="1">
      <c r="B30" s="493" t="s">
        <v>146</v>
      </c>
      <c r="C30" s="462">
        <f>C29/0.8</f>
        <v>31250</v>
      </c>
      <c r="E30" s="85"/>
      <c r="F30" s="86"/>
    </row>
    <row r="31" spans="2:6" ht="25" customHeight="1" thickBot="1">
      <c r="B31" s="493" t="s">
        <v>147</v>
      </c>
      <c r="C31" s="68">
        <f>ROUNDUP(C30/(IF('Backend Design'!C21&lt;=5,230,(400*1.732))),0)</f>
        <v>46</v>
      </c>
      <c r="E31" s="85"/>
      <c r="F31" s="86"/>
    </row>
    <row r="32" spans="2:6" ht="25" customHeight="1" thickBot="1">
      <c r="B32" s="493" t="s">
        <v>148</v>
      </c>
      <c r="C32" s="68">
        <f>C31*1.25</f>
        <v>57.5</v>
      </c>
      <c r="E32" s="85"/>
      <c r="F32" s="86"/>
    </row>
    <row r="33" spans="2:6" ht="25" customHeight="1" thickBot="1">
      <c r="B33" s="493" t="s">
        <v>149</v>
      </c>
      <c r="C33" s="68">
        <f>VLOOKUP('Backend Values'!B24,'Backend Values'!B17:C23,2)</f>
        <v>63</v>
      </c>
      <c r="E33" s="85"/>
      <c r="F33" s="86"/>
    </row>
    <row r="34" spans="2:6" ht="25" customHeight="1" thickBot="1">
      <c r="B34" s="493" t="s">
        <v>150</v>
      </c>
      <c r="C34" s="68">
        <f>C22+1</f>
        <v>5</v>
      </c>
      <c r="E34" s="85"/>
      <c r="F34" s="86"/>
    </row>
    <row r="35" spans="2:6" ht="25" customHeight="1" thickBot="1">
      <c r="B35" s="86"/>
      <c r="C35" s="86"/>
      <c r="D35" s="86"/>
      <c r="E35" s="86"/>
      <c r="F35" s="86"/>
    </row>
    <row r="36" spans="2:6" ht="25" customHeight="1" thickBot="1">
      <c r="B36" s="613" t="s">
        <v>686</v>
      </c>
      <c r="C36" s="614"/>
      <c r="E36" s="87"/>
      <c r="F36" s="86"/>
    </row>
    <row r="37" spans="2:6" ht="25" customHeight="1" thickBot="1">
      <c r="B37" s="493" t="s">
        <v>151</v>
      </c>
      <c r="C37" s="462">
        <f>ROUNDUP((C17*1000)/'2. Inputs'!D37,0)</f>
        <v>205</v>
      </c>
      <c r="E37" s="85"/>
      <c r="F37" s="86"/>
    </row>
    <row r="38" spans="2:6" ht="25" customHeight="1" thickBot="1">
      <c r="B38" s="493" t="s">
        <v>152</v>
      </c>
      <c r="C38" s="462">
        <f>'2. Inputs'!D37</f>
        <v>490</v>
      </c>
      <c r="E38" s="85"/>
      <c r="F38" s="86"/>
    </row>
    <row r="39" spans="2:6" ht="25" customHeight="1" thickBot="1">
      <c r="B39" s="493" t="s">
        <v>153</v>
      </c>
      <c r="C39" s="462">
        <f>(C38*C37)/1000</f>
        <v>100.45</v>
      </c>
      <c r="E39" s="85"/>
      <c r="F39" s="86"/>
    </row>
    <row r="40" spans="2:6" ht="25" customHeight="1" thickBot="1">
      <c r="B40" s="86"/>
      <c r="C40" s="86"/>
      <c r="D40" s="86"/>
      <c r="E40" s="86"/>
      <c r="F40" s="86"/>
    </row>
    <row r="41" spans="2:6" ht="25" customHeight="1" thickBot="1">
      <c r="B41" s="613" t="s">
        <v>74</v>
      </c>
      <c r="C41" s="614"/>
      <c r="E41" s="87"/>
      <c r="F41" s="86"/>
    </row>
    <row r="42" spans="2:6" ht="25" customHeight="1" thickBot="1">
      <c r="B42" s="493" t="s">
        <v>154</v>
      </c>
      <c r="C42" s="68">
        <f>C39</f>
        <v>100.45</v>
      </c>
      <c r="E42" s="85"/>
      <c r="F42" s="86"/>
    </row>
    <row r="43" spans="2:6" ht="25" customHeight="1" thickBot="1">
      <c r="B43" s="493" t="s">
        <v>607</v>
      </c>
      <c r="C43" s="102">
        <f>C42*0.85</f>
        <v>85.382499999999993</v>
      </c>
      <c r="E43" s="85"/>
      <c r="F43" s="86"/>
    </row>
    <row r="44" spans="2:6" ht="25" customHeight="1" thickBot="1">
      <c r="B44" s="493" t="s">
        <v>155</v>
      </c>
      <c r="C44" s="505">
        <v>5.5</v>
      </c>
      <c r="E44" s="85" t="s">
        <v>612</v>
      </c>
      <c r="F44" s="86"/>
    </row>
    <row r="45" spans="2:6" ht="25" customHeight="1" thickBot="1">
      <c r="B45" s="493" t="s">
        <v>609</v>
      </c>
      <c r="C45" s="462">
        <f>C44*C43</f>
        <v>469.60374999999999</v>
      </c>
      <c r="E45" s="85"/>
      <c r="F45" s="86"/>
    </row>
    <row r="46" spans="2:6" ht="25" customHeight="1" thickBot="1">
      <c r="B46" s="493" t="s">
        <v>671</v>
      </c>
      <c r="C46" s="462">
        <f>C45*330</f>
        <v>154969.23749999999</v>
      </c>
      <c r="E46" s="85"/>
      <c r="F46" s="86"/>
    </row>
    <row r="47" spans="2:6" ht="25" customHeight="1" thickBot="1">
      <c r="B47" s="86"/>
      <c r="C47" s="86"/>
      <c r="D47" s="86"/>
      <c r="E47" s="86"/>
      <c r="F47" s="86"/>
    </row>
    <row r="48" spans="2:6" ht="25" customHeight="1" thickBot="1">
      <c r="B48" s="613" t="s">
        <v>156</v>
      </c>
      <c r="C48" s="614"/>
      <c r="E48" s="87"/>
      <c r="F48" s="86"/>
    </row>
    <row r="49" spans="2:6" ht="25" customHeight="1" thickBot="1">
      <c r="B49" s="493" t="s">
        <v>157</v>
      </c>
      <c r="C49" s="68">
        <f>'Backend Values'!J40</f>
        <v>6</v>
      </c>
      <c r="E49" s="85"/>
      <c r="F49" s="86"/>
    </row>
    <row r="50" spans="2:6" s="13" customFormat="1" ht="13.5" thickBot="1">
      <c r="E50" s="86"/>
      <c r="F50" s="86"/>
    </row>
    <row r="51" spans="2:6" s="13" customFormat="1" ht="13.5" thickBot="1"/>
    <row r="52" spans="2:6" s="13" customFormat="1" ht="13.5" thickBot="1"/>
    <row r="53" spans="2:6" s="13" customFormat="1" ht="13.5" thickBot="1"/>
    <row r="54" spans="2:6" s="13" customFormat="1" ht="13.5" thickBot="1"/>
    <row r="55" spans="2:6" s="13" customFormat="1" ht="13.5" thickBot="1"/>
    <row r="56" spans="2:6" s="13" customFormat="1" ht="13.5" thickBot="1"/>
    <row r="57" spans="2:6" s="13" customFormat="1" ht="13.5" thickBot="1"/>
    <row r="58" spans="2:6" s="13" customFormat="1" ht="13.5" thickBot="1"/>
    <row r="59" spans="2:6" s="13" customFormat="1" ht="13.5" thickBot="1"/>
    <row r="60" spans="2:6" s="13" customFormat="1" ht="13.5" thickBot="1"/>
    <row r="61" spans="2:6" s="13" customFormat="1" ht="13.5" thickBot="1"/>
    <row r="62" spans="2:6" s="13" customFormat="1" ht="13.5" thickBot="1"/>
    <row r="63" spans="2:6" s="13" customFormat="1" ht="13.5" thickBot="1"/>
    <row r="64" spans="2:6" s="13" customFormat="1" ht="13.5" thickBot="1"/>
    <row r="65" s="13" customFormat="1" ht="13.5" thickBot="1"/>
    <row r="66" s="13" customFormat="1" ht="13.5" thickBot="1"/>
    <row r="67" s="13" customFormat="1" ht="13.5" thickBot="1"/>
    <row r="68" s="13" customFormat="1" ht="13.5" thickBot="1"/>
    <row r="69" s="13" customFormat="1" ht="13.5" thickBot="1"/>
    <row r="70" s="13" customFormat="1" ht="13.5" thickBot="1"/>
    <row r="71" s="13" customFormat="1" ht="13.5" thickBot="1"/>
    <row r="72" s="13" customFormat="1" ht="13.5" thickBot="1"/>
    <row r="73" s="13" customFormat="1" ht="13.5" thickBot="1"/>
    <row r="74" s="13" customFormat="1" ht="13.5" thickBot="1"/>
    <row r="75" s="13" customFormat="1" ht="13.5" thickBot="1"/>
    <row r="76" s="13" customFormat="1" ht="13.5" thickBot="1"/>
    <row r="77" s="13" customFormat="1" ht="13.5" thickBot="1"/>
    <row r="78" s="13" customFormat="1" ht="13.5" thickBot="1"/>
    <row r="79" s="13" customFormat="1" ht="13.5" thickBot="1"/>
    <row r="80" s="13" customFormat="1" ht="13.5" thickBot="1"/>
    <row r="81" s="13" customFormat="1" ht="13.5" thickBot="1"/>
    <row r="82" s="13" customFormat="1" ht="13.5" thickBot="1"/>
    <row r="83" s="13" customFormat="1" ht="13.5" thickBot="1"/>
    <row r="84" s="13" customFormat="1" ht="13.5" thickBot="1"/>
    <row r="85" s="13" customFormat="1" ht="13.5" thickBot="1"/>
    <row r="86" s="13" customFormat="1" ht="13.5" thickBot="1"/>
    <row r="87" s="13" customFormat="1" ht="13.5" thickBot="1"/>
    <row r="88" s="13" customFormat="1" ht="13.5" thickBot="1"/>
    <row r="89" s="13" customFormat="1" ht="13.5" thickBot="1"/>
    <row r="90" s="13" customFormat="1" ht="13.5" thickBot="1"/>
    <row r="91" s="13" customFormat="1" ht="13.5" thickBot="1"/>
    <row r="92" s="13" customFormat="1" ht="13.5" thickBot="1"/>
    <row r="93" s="13" customFormat="1" ht="13.5" thickBot="1"/>
    <row r="94" s="13" customFormat="1" ht="13.5" thickBot="1"/>
    <row r="95" s="13" customFormat="1" ht="13.5" thickBot="1"/>
    <row r="96" s="13" customFormat="1" ht="13.5" thickBot="1"/>
    <row r="97" s="13" customFormat="1" ht="13.5" thickBot="1"/>
    <row r="98" s="13" customFormat="1" ht="13.5" thickBot="1"/>
    <row r="99" s="13" customFormat="1" ht="13.5" thickBot="1"/>
    <row r="100" s="13" customFormat="1" ht="13.5" thickBot="1"/>
    <row r="101" s="13" customFormat="1" ht="13.5" thickBot="1"/>
    <row r="102" s="13" customFormat="1" ht="13.5" thickBot="1"/>
    <row r="103" s="13" customFormat="1" ht="13.5" thickBot="1"/>
    <row r="104" s="13" customFormat="1" ht="13.5" thickBot="1"/>
    <row r="105" s="13" customFormat="1" ht="13.5" thickBot="1"/>
    <row r="106" s="13" customFormat="1" ht="13.5" thickBot="1"/>
    <row r="107" s="13" customFormat="1" ht="13.5" thickBot="1"/>
    <row r="108" s="13" customFormat="1" ht="13.5" thickBot="1"/>
    <row r="109" s="13" customFormat="1" ht="13.5" thickBot="1"/>
    <row r="110" s="13" customFormat="1" ht="13.5" thickBot="1"/>
    <row r="111" s="13" customFormat="1" ht="13.5" thickBot="1"/>
    <row r="112" s="13" customFormat="1" ht="13.5" thickBot="1"/>
    <row r="113" s="13" customFormat="1" ht="13.5" thickBot="1"/>
    <row r="114" s="13" customFormat="1" ht="13.5" thickBot="1"/>
    <row r="115" s="13" customFormat="1" ht="13.5" thickBot="1"/>
    <row r="116" s="13" customFormat="1" ht="13.5" thickBot="1"/>
    <row r="117" s="13" customFormat="1" ht="13.5" thickBot="1"/>
    <row r="118" s="13" customFormat="1" ht="13.5" thickBot="1"/>
    <row r="119" s="13" customFormat="1" ht="13.5" thickBot="1"/>
    <row r="120" s="13" customFormat="1" ht="13.5" thickBot="1"/>
    <row r="121" s="13" customFormat="1" ht="13.5" thickBot="1"/>
    <row r="122" s="13" customFormat="1" ht="13.5" thickBot="1"/>
    <row r="123" s="13" customFormat="1" ht="13.5" thickBot="1"/>
    <row r="124" s="13" customFormat="1" ht="13.5" thickBot="1"/>
    <row r="125" s="13" customFormat="1" ht="13.5" thickBot="1"/>
    <row r="126" s="13" customFormat="1" ht="13.5" thickBot="1"/>
    <row r="127" s="13" customFormat="1" ht="13.5" thickBot="1"/>
    <row r="128" s="13" customFormat="1" ht="13.5" thickBot="1"/>
    <row r="129" s="13" customFormat="1" ht="13.5" thickBot="1"/>
    <row r="130" s="13" customFormat="1" ht="13.5" thickBot="1"/>
    <row r="131" s="13" customFormat="1" ht="13.5" thickBot="1"/>
    <row r="132" s="13" customFormat="1" ht="13.5" thickBot="1"/>
    <row r="133" s="13" customFormat="1" ht="13.5" thickBot="1"/>
    <row r="134" s="13" customFormat="1" ht="13.5" thickBot="1"/>
    <row r="135" s="13" customFormat="1" ht="13.5" thickBot="1"/>
    <row r="136" s="13" customFormat="1" ht="13.5" thickBot="1"/>
    <row r="137" s="13" customFormat="1" ht="13.5" thickBot="1"/>
    <row r="138" s="13" customFormat="1" ht="13.5" thickBot="1"/>
    <row r="139" s="13" customFormat="1" ht="13.5" thickBot="1"/>
    <row r="140" s="13" customFormat="1" ht="13.5" thickBot="1"/>
    <row r="141" s="13" customFormat="1" ht="13.5" thickBot="1"/>
    <row r="142" s="13" customFormat="1" ht="13.5" thickBot="1"/>
    <row r="143" s="13" customFormat="1" ht="13.5" thickBot="1"/>
    <row r="144" s="13" customFormat="1" ht="13.5" thickBot="1"/>
    <row r="145" s="13" customFormat="1" ht="13.5" thickBot="1"/>
    <row r="146" s="13" customFormat="1" ht="13.5" thickBot="1"/>
    <row r="147" s="13" customFormat="1" ht="13.5" thickBot="1"/>
    <row r="148" s="13" customFormat="1" ht="13.5" thickBot="1"/>
    <row r="149" s="13" customFormat="1" ht="13.5" thickBot="1"/>
    <row r="150" s="13" customFormat="1" ht="13.5" thickBot="1"/>
    <row r="151" s="13" customFormat="1" ht="13.5" thickBot="1"/>
    <row r="152" s="13" customFormat="1" ht="13.5" thickBot="1"/>
    <row r="153" s="13" customFormat="1" ht="13.5" thickBot="1"/>
    <row r="154" s="13" customFormat="1" ht="13.5" thickBot="1"/>
    <row r="155" s="13" customFormat="1" ht="13.5" thickBot="1"/>
    <row r="156" s="13" customFormat="1" ht="13.5" thickBot="1"/>
    <row r="157" s="13" customFormat="1" ht="13.5" thickBot="1"/>
    <row r="158" s="13" customFormat="1" ht="13.5" thickBot="1"/>
    <row r="159" s="13" customFormat="1" ht="13.5" thickBot="1"/>
    <row r="160" s="13" customFormat="1" ht="13.5" thickBot="1"/>
    <row r="161" s="13" customFormat="1" ht="13.5" thickBot="1"/>
    <row r="162" s="13" customFormat="1" ht="13.5" thickBot="1"/>
    <row r="163" s="13" customFormat="1" ht="13.5" thickBot="1"/>
    <row r="164" s="13" customFormat="1" ht="13.5" thickBot="1"/>
    <row r="165" s="13" customFormat="1" ht="13.5" thickBot="1"/>
    <row r="166" s="13" customFormat="1" ht="13.5" thickBot="1"/>
    <row r="167" s="13" customFormat="1" ht="13.5" thickBot="1"/>
    <row r="168" s="13" customFormat="1" ht="13.5" thickBot="1"/>
    <row r="169" s="13" customFormat="1" ht="13.5" thickBot="1"/>
    <row r="170" s="13" customFormat="1" ht="13.5" thickBot="1"/>
    <row r="171" s="13" customFormat="1" ht="13.5" thickBot="1"/>
    <row r="172" s="13" customFormat="1" ht="13.5" thickBot="1"/>
    <row r="173" s="13" customFormat="1" ht="13.5" thickBot="1"/>
    <row r="174" s="13" customFormat="1" ht="13.5" thickBot="1"/>
    <row r="175" s="13" customFormat="1" ht="13.5" thickBot="1"/>
    <row r="176" s="13" customFormat="1" ht="13.5" thickBot="1"/>
    <row r="177" s="13" customFormat="1" ht="13.5" thickBot="1"/>
    <row r="178" s="13" customFormat="1" ht="13.5" thickBot="1"/>
    <row r="179" s="13" customFormat="1" ht="13.5" thickBot="1"/>
    <row r="180" s="13" customFormat="1" ht="13.5" thickBot="1"/>
    <row r="181" s="13" customFormat="1" ht="13.5" thickBot="1"/>
    <row r="182" s="13" customFormat="1" ht="13.5" thickBot="1"/>
    <row r="183" s="13" customFormat="1" ht="13.5" thickBot="1"/>
    <row r="184" s="13" customFormat="1" ht="13.5" thickBot="1"/>
    <row r="185" s="13" customFormat="1" ht="13.5" thickBot="1"/>
    <row r="186" s="13" customFormat="1" ht="13.5" thickBot="1"/>
    <row r="187" s="13" customFormat="1" ht="13.5" thickBot="1"/>
    <row r="188" s="13" customFormat="1" ht="13.5" thickBot="1"/>
    <row r="189" s="13" customFormat="1" ht="13.5" thickBot="1"/>
    <row r="190" s="13" customFormat="1" ht="13.5" thickBot="1"/>
    <row r="191" s="13" customFormat="1" ht="13.5" thickBot="1"/>
    <row r="192" s="13" customFormat="1" ht="13.5" thickBot="1"/>
    <row r="193" s="13" customFormat="1" ht="13.5" thickBot="1"/>
    <row r="194" s="13" customFormat="1" ht="13.5" thickBot="1"/>
    <row r="195" s="13" customFormat="1" ht="13.5" thickBot="1"/>
    <row r="196" s="13" customFormat="1" ht="13.5" thickBot="1"/>
    <row r="197" s="13" customFormat="1" ht="13.5" thickBot="1"/>
    <row r="198" s="13" customFormat="1" ht="13.5" thickBot="1"/>
    <row r="199" s="13" customFormat="1" ht="13.5" thickBot="1"/>
    <row r="200" s="13" customFormat="1" ht="13.5" thickBot="1"/>
    <row r="201" s="13" customFormat="1" ht="13.5" thickBot="1"/>
    <row r="202" s="13" customFormat="1" ht="13.5" thickBot="1"/>
    <row r="203" s="13" customFormat="1" ht="13.5" thickBot="1"/>
    <row r="204" s="13" customFormat="1" ht="13.5" thickBot="1"/>
    <row r="205" s="13" customFormat="1" ht="13.5" thickBot="1"/>
    <row r="206" s="13" customFormat="1" ht="13.5" thickBot="1"/>
    <row r="207" s="13" customFormat="1" ht="13.5" thickBot="1"/>
    <row r="208" s="13" customFormat="1" ht="13.5" thickBot="1"/>
    <row r="209" s="13" customFormat="1" ht="13.5" thickBot="1"/>
    <row r="210" s="13" customFormat="1" ht="13.5" thickBot="1"/>
    <row r="211" s="13" customFormat="1" ht="13.5" thickBot="1"/>
    <row r="212" s="13" customFormat="1" ht="13.5" thickBot="1"/>
    <row r="213" s="13" customFormat="1" ht="13.5" thickBot="1"/>
    <row r="214" s="13" customFormat="1" ht="13.5" thickBot="1"/>
    <row r="215" s="13" customFormat="1" ht="13.5" thickBot="1"/>
    <row r="216" s="13" customFormat="1" ht="13.5" thickBot="1"/>
    <row r="217" s="13" customFormat="1" ht="13.5" thickBot="1"/>
    <row r="218" s="13" customFormat="1" ht="13.5" thickBot="1"/>
    <row r="219" s="13" customFormat="1" ht="13.5" thickBot="1"/>
    <row r="220" s="13" customFormat="1" ht="13.5" thickBot="1"/>
    <row r="221" s="13" customFormat="1" ht="13.5" thickBot="1"/>
    <row r="222" s="13" customFormat="1" ht="13.5" thickBot="1"/>
    <row r="223" s="13" customFormat="1" ht="13.5" thickBot="1"/>
    <row r="224" s="13" customFormat="1" ht="13.5" thickBot="1"/>
    <row r="225" s="13" customFormat="1" ht="13.5" thickBot="1"/>
    <row r="226" s="13" customFormat="1" ht="13.5" thickBot="1"/>
    <row r="227" s="13" customFormat="1" ht="13.5" thickBot="1"/>
    <row r="228" s="13" customFormat="1" ht="13.5" thickBot="1"/>
    <row r="229" s="13" customFormat="1" ht="13.5" thickBot="1"/>
    <row r="230" s="13" customFormat="1" ht="13.5" thickBot="1"/>
    <row r="231" s="13" customFormat="1" ht="13.5" thickBot="1"/>
    <row r="232" s="13" customFormat="1" ht="13.5" thickBot="1"/>
    <row r="233" s="13" customFormat="1" ht="13.5" thickBot="1"/>
    <row r="234" s="13" customFormat="1" ht="13.5" thickBot="1"/>
    <row r="235" s="13" customFormat="1" ht="13.5" thickBot="1"/>
    <row r="236" s="13" customFormat="1" ht="13.5" thickBot="1"/>
    <row r="237" s="13" customFormat="1" ht="13.5" thickBot="1"/>
    <row r="238" s="13" customFormat="1" ht="13.5" thickBot="1"/>
    <row r="239" s="13" customFormat="1" ht="13.5" thickBot="1"/>
    <row r="240" s="13" customFormat="1" ht="13.5" thickBot="1"/>
    <row r="241" s="13" customFormat="1" ht="13.5" thickBot="1"/>
    <row r="242" s="13" customFormat="1" ht="13.5" thickBot="1"/>
    <row r="243" s="13" customFormat="1" ht="13.5" thickBot="1"/>
    <row r="244" s="13" customFormat="1" ht="13.5" thickBot="1"/>
    <row r="245" s="13" customFormat="1" ht="13.5" thickBot="1"/>
    <row r="246" s="13" customFormat="1" ht="13.5" thickBot="1"/>
    <row r="247" s="13" customFormat="1" ht="13.5" thickBot="1"/>
    <row r="248" s="13" customFormat="1" ht="13.5" thickBot="1"/>
    <row r="249" s="13" customFormat="1" ht="13.5" thickBot="1"/>
    <row r="250" s="13" customFormat="1" ht="13.5" thickBot="1"/>
    <row r="251" s="13" customFormat="1" ht="13.5" thickBot="1"/>
    <row r="252" s="13" customFormat="1" ht="13.5" thickBot="1"/>
    <row r="253" s="13" customFormat="1" ht="13.5" thickBot="1"/>
    <row r="254" s="13" customFormat="1" ht="13.5" thickBot="1"/>
    <row r="255" s="13" customFormat="1" ht="13.5" thickBot="1"/>
    <row r="256" s="13" customFormat="1" ht="13.5" thickBot="1"/>
    <row r="257" s="13" customFormat="1" ht="13.5" thickBot="1"/>
    <row r="258" s="13" customFormat="1" ht="13.5" thickBot="1"/>
    <row r="259" s="13" customFormat="1" ht="13.5" thickBot="1"/>
    <row r="260" s="13" customFormat="1" ht="13.5" thickBot="1"/>
    <row r="261" s="13" customFormat="1" ht="13.5" thickBot="1"/>
    <row r="262" s="13" customFormat="1" ht="13.5" thickBot="1"/>
    <row r="263" s="13" customFormat="1" ht="13.5" thickBot="1"/>
    <row r="264" s="13" customFormat="1" ht="13.5" thickBot="1"/>
    <row r="265" s="13" customFormat="1" ht="13.5" thickBot="1"/>
    <row r="266" s="13" customFormat="1" ht="13.5" thickBot="1"/>
    <row r="267" s="13" customFormat="1" ht="13.5" thickBot="1"/>
    <row r="268" s="13" customFormat="1" ht="13.5" thickBot="1"/>
    <row r="269" s="13" customFormat="1" ht="13.5" thickBot="1"/>
    <row r="270" s="13" customFormat="1" ht="13.5" thickBot="1"/>
    <row r="271" s="13" customFormat="1" ht="13.5" thickBot="1"/>
    <row r="272" s="13" customFormat="1" ht="13.5" thickBot="1"/>
    <row r="273" s="13" customFormat="1" ht="13.5" thickBot="1"/>
    <row r="274" s="13" customFormat="1" ht="13.5" thickBot="1"/>
    <row r="275" s="13" customFormat="1" ht="13.5" thickBot="1"/>
    <row r="276" s="13" customFormat="1" ht="13.5" thickBot="1"/>
    <row r="277" s="13" customFormat="1" ht="13.5" thickBot="1"/>
    <row r="278" s="13" customFormat="1" ht="13.5" thickBot="1"/>
    <row r="279" s="13" customFormat="1" ht="13.5" thickBot="1"/>
    <row r="280" s="13" customFormat="1" ht="13.5" thickBot="1"/>
    <row r="281" s="13" customFormat="1" ht="13.5" thickBot="1"/>
    <row r="282" s="13" customFormat="1" ht="13.5" thickBot="1"/>
    <row r="283" s="13" customFormat="1" ht="13.5" thickBot="1"/>
    <row r="284" s="13" customFormat="1" ht="13.5" thickBot="1"/>
    <row r="285" s="13" customFormat="1" ht="13.5" thickBot="1"/>
    <row r="286" s="13" customFormat="1" ht="13.5" thickBot="1"/>
    <row r="287" s="13" customFormat="1" ht="13.5" thickBot="1"/>
    <row r="288" s="13" customFormat="1" ht="13.5" thickBot="1"/>
    <row r="289" s="13" customFormat="1" ht="13.5" thickBot="1"/>
    <row r="290" s="13" customFormat="1" ht="13.5" thickBot="1"/>
    <row r="291" s="13" customFormat="1" ht="13.5" thickBot="1"/>
    <row r="292" s="13" customFormat="1" ht="13.5" thickBot="1"/>
    <row r="293" s="13" customFormat="1" ht="13.5" thickBot="1"/>
    <row r="294" s="13" customFormat="1" ht="13.5" thickBot="1"/>
    <row r="295" s="13" customFormat="1" ht="13.5" thickBot="1"/>
    <row r="296" s="13" customFormat="1" ht="13.5" thickBot="1"/>
    <row r="297" s="13" customFormat="1" ht="13.5" thickBot="1"/>
    <row r="298" s="13" customFormat="1" ht="13.5" thickBot="1"/>
    <row r="299" s="13" customFormat="1" ht="13.5" thickBot="1"/>
    <row r="300" s="13" customFormat="1" ht="13.5" thickBot="1"/>
    <row r="301" s="13" customFormat="1" ht="13.5" thickBot="1"/>
    <row r="302" s="13" customFormat="1" ht="13.5" thickBot="1"/>
    <row r="303" s="13" customFormat="1" ht="13.5" thickBot="1"/>
    <row r="304" s="13" customFormat="1" ht="13.5" thickBot="1"/>
    <row r="305" s="13" customFormat="1" ht="13.5" thickBot="1"/>
    <row r="306" s="13" customFormat="1" ht="13.5" thickBot="1"/>
    <row r="307" s="13" customFormat="1" ht="13.5" thickBot="1"/>
    <row r="308" s="13" customFormat="1" ht="13.5" thickBot="1"/>
    <row r="309" s="13" customFormat="1" ht="13.5" thickBot="1"/>
    <row r="310" s="13" customFormat="1" ht="13.5" thickBot="1"/>
    <row r="311" s="13" customFormat="1" ht="13.5" thickBot="1"/>
    <row r="312" s="13" customFormat="1" ht="13.5" thickBot="1"/>
    <row r="313" s="13" customFormat="1" ht="13.5" thickBot="1"/>
    <row r="314" s="13" customFormat="1" ht="13.5" thickBot="1"/>
    <row r="315" s="13" customFormat="1" ht="13.5" thickBot="1"/>
    <row r="316" s="13" customFormat="1" ht="13.5" thickBot="1"/>
    <row r="317" s="13" customFormat="1" ht="13.5" thickBot="1"/>
    <row r="318" s="13" customFormat="1" ht="13.5" thickBot="1"/>
    <row r="319" s="13" customFormat="1" ht="13.5" thickBot="1"/>
    <row r="320" s="13" customFormat="1" ht="13.5" thickBot="1"/>
    <row r="321" s="13" customFormat="1" ht="13.5" thickBot="1"/>
    <row r="322" s="13" customFormat="1" ht="13.5" thickBot="1"/>
    <row r="323" s="13" customFormat="1" ht="13.5" thickBot="1"/>
    <row r="324" s="13" customFormat="1" ht="13.5" thickBot="1"/>
    <row r="325" s="13" customFormat="1" ht="13.5" thickBot="1"/>
    <row r="326" s="13" customFormat="1" ht="13.5" thickBot="1"/>
    <row r="327" s="13" customFormat="1" ht="13.5" thickBot="1"/>
    <row r="328" s="13" customFormat="1" ht="13.5" thickBot="1"/>
    <row r="329" s="13" customFormat="1" ht="13.5" thickBot="1"/>
    <row r="330" s="13" customFormat="1" ht="13.5" thickBot="1"/>
    <row r="331" s="13" customFormat="1" ht="13.5" thickBot="1"/>
    <row r="332" s="13" customFormat="1" ht="13.5" thickBot="1"/>
    <row r="333" s="13" customFormat="1" ht="13.5" thickBot="1"/>
    <row r="334" s="13" customFormat="1" ht="13.5" thickBot="1"/>
    <row r="335" s="13" customFormat="1" ht="13.5" thickBot="1"/>
    <row r="336" s="13" customFormat="1" ht="13.5" thickBot="1"/>
    <row r="337" s="13" customFormat="1" ht="13.5" thickBot="1"/>
    <row r="338" s="13" customFormat="1" ht="13.5" thickBot="1"/>
    <row r="339" s="13" customFormat="1" ht="13.5" thickBot="1"/>
    <row r="340" s="13" customFormat="1" ht="13.5" thickBot="1"/>
    <row r="341" s="13" customFormat="1" ht="13.5" thickBot="1"/>
    <row r="342" s="13" customFormat="1" ht="13.5" thickBot="1"/>
    <row r="343" s="13" customFormat="1" ht="13.5" thickBot="1"/>
    <row r="344" s="13" customFormat="1" ht="13.5" thickBot="1"/>
    <row r="345" s="13" customFormat="1" ht="13.5" thickBot="1"/>
    <row r="346" s="13" customFormat="1" ht="13.5" thickBot="1"/>
    <row r="347" s="13" customFormat="1" ht="13.5" thickBot="1"/>
    <row r="348" s="13" customFormat="1" ht="13.5" thickBot="1"/>
    <row r="349" s="13" customFormat="1" ht="13.5" thickBot="1"/>
    <row r="350" s="13" customFormat="1" ht="13.5" thickBot="1"/>
    <row r="351" s="13" customFormat="1" ht="13.5" thickBot="1"/>
    <row r="352" s="13" customFormat="1" ht="13.5" thickBot="1"/>
    <row r="353" s="13" customFormat="1" ht="13.5" thickBot="1"/>
    <row r="354" s="13" customFormat="1" ht="13.5" thickBot="1"/>
    <row r="355" s="13" customFormat="1" ht="13.5" thickBot="1"/>
    <row r="356" s="13" customFormat="1" ht="13.5" thickBot="1"/>
    <row r="357" s="13" customFormat="1" ht="13.5" thickBot="1"/>
    <row r="358" s="13" customFormat="1" ht="13.5" thickBot="1"/>
    <row r="359" s="13" customFormat="1" ht="13.5" thickBot="1"/>
    <row r="360" s="13" customFormat="1" ht="13.5" thickBot="1"/>
    <row r="361" s="13" customFormat="1" ht="13.5" thickBot="1"/>
    <row r="362" s="13" customFormat="1" ht="13.5" thickBot="1"/>
    <row r="363" s="13" customFormat="1" ht="13.5" thickBot="1"/>
    <row r="364" s="13" customFormat="1" ht="13.5" thickBot="1"/>
    <row r="365" s="13" customFormat="1" ht="13.5" thickBot="1"/>
    <row r="366" s="13" customFormat="1" ht="13.5" thickBot="1"/>
    <row r="367" s="13" customFormat="1" ht="13.5" thickBot="1"/>
    <row r="368" s="13" customFormat="1" ht="13.5" thickBot="1"/>
    <row r="369" s="13" customFormat="1" ht="13.5" thickBot="1"/>
    <row r="370" s="13" customFormat="1" ht="13.5" thickBot="1"/>
    <row r="371" s="13" customFormat="1" ht="13.5" thickBot="1"/>
    <row r="372" s="13" customFormat="1" ht="13.5" thickBot="1"/>
    <row r="373" s="13" customFormat="1" ht="13.5" thickBot="1"/>
    <row r="374" s="13" customFormat="1" ht="13.5" thickBot="1"/>
    <row r="375" s="13" customFormat="1" ht="13.5" thickBot="1"/>
    <row r="376" s="13" customFormat="1" ht="13.5" thickBot="1"/>
    <row r="377" s="13" customFormat="1" ht="13.5" thickBot="1"/>
    <row r="378" s="13" customFormat="1" ht="13.5" thickBot="1"/>
    <row r="379" s="13" customFormat="1" ht="13.5" thickBot="1"/>
    <row r="380" s="13" customFormat="1" ht="13.5" thickBot="1"/>
    <row r="381" s="13" customFormat="1" ht="13.5" thickBot="1"/>
    <row r="382" s="13" customFormat="1" ht="13.5" thickBot="1"/>
    <row r="383" s="13" customFormat="1" ht="13.5" thickBot="1"/>
    <row r="384" s="13" customFormat="1" ht="13.5" thickBot="1"/>
    <row r="385" s="13" customFormat="1" ht="13.5" thickBot="1"/>
    <row r="386" s="13" customFormat="1" ht="13.5" thickBot="1"/>
    <row r="387" s="13" customFormat="1" ht="13.5" thickBot="1"/>
    <row r="388" s="13" customFormat="1" ht="13.5" thickBot="1"/>
    <row r="389" s="13" customFormat="1" ht="13.5" thickBot="1"/>
    <row r="390" s="13" customFormat="1" ht="13.5" thickBot="1"/>
    <row r="391" s="13" customFormat="1" ht="13.5" thickBot="1"/>
    <row r="392" s="13" customFormat="1" ht="13.5" thickBot="1"/>
    <row r="393" s="13" customFormat="1" ht="13.5" thickBot="1"/>
    <row r="394" s="13" customFormat="1" ht="13.5" thickBot="1"/>
    <row r="395" s="13" customFormat="1" ht="13.5" thickBot="1"/>
    <row r="396" s="13" customFormat="1" ht="13.5" thickBot="1"/>
    <row r="397" s="13" customFormat="1" ht="13.5" thickBot="1"/>
    <row r="398" s="13" customFormat="1" ht="13.5" thickBot="1"/>
    <row r="399" s="13" customFormat="1" ht="13.5" thickBot="1"/>
    <row r="400" s="13" customFormat="1" ht="13.5" thickBot="1"/>
    <row r="401" s="13" customFormat="1" ht="13.5" thickBot="1"/>
    <row r="402" s="13" customFormat="1" ht="13.5" thickBot="1"/>
    <row r="403" s="13" customFormat="1" ht="13.5" thickBot="1"/>
    <row r="404" s="13" customFormat="1" ht="13.5" thickBot="1"/>
    <row r="405" s="13" customFormat="1" ht="13.5" thickBot="1"/>
    <row r="406" s="13" customFormat="1" ht="13.5" thickBot="1"/>
    <row r="407" s="13" customFormat="1" ht="13.5" thickBot="1"/>
    <row r="408" s="13" customFormat="1" ht="13.5" thickBot="1"/>
    <row r="409" s="13" customFormat="1" ht="13.5" thickBot="1"/>
    <row r="410" s="13" customFormat="1" ht="13.5" thickBot="1"/>
    <row r="411" s="13" customFormat="1" ht="13.5" thickBot="1"/>
    <row r="412" s="13" customFormat="1" ht="13.5" thickBot="1"/>
    <row r="413" s="13" customFormat="1" ht="13.5" thickBot="1"/>
    <row r="414" s="13" customFormat="1" ht="13.5" thickBot="1"/>
    <row r="415" s="13" customFormat="1" ht="13.5" thickBot="1"/>
    <row r="416" s="13" customFormat="1" ht="13.5" thickBot="1"/>
    <row r="417" s="13" customFormat="1" ht="13.5" thickBot="1"/>
    <row r="418" s="13" customFormat="1" ht="13.5" thickBot="1"/>
    <row r="419" s="13" customFormat="1" ht="13.5" thickBot="1"/>
    <row r="420" s="13" customFormat="1" ht="13.5" thickBot="1"/>
    <row r="421" s="13" customFormat="1" ht="13.5" thickBot="1"/>
    <row r="422" s="13" customFormat="1" ht="13.5" thickBot="1"/>
    <row r="423" s="13" customFormat="1" ht="13.5" thickBot="1"/>
    <row r="424" s="13" customFormat="1" ht="13.5" thickBot="1"/>
    <row r="425" s="13" customFormat="1" ht="13.5" thickBot="1"/>
    <row r="426" s="13" customFormat="1" ht="13.5" thickBot="1"/>
    <row r="427" s="13" customFormat="1" ht="13.5" thickBot="1"/>
    <row r="428" s="13" customFormat="1" ht="13.5" thickBot="1"/>
    <row r="429" s="13" customFormat="1" ht="13.5" thickBot="1"/>
    <row r="430" s="13" customFormat="1" ht="13.5" thickBot="1"/>
    <row r="431" s="13" customFormat="1" ht="13.5" thickBot="1"/>
    <row r="432" s="13" customFormat="1" ht="13.5" thickBot="1"/>
    <row r="433" s="13" customFormat="1" ht="13.5" thickBot="1"/>
    <row r="434" s="13" customFormat="1" ht="13.5" thickBot="1"/>
    <row r="435" s="13" customFormat="1" ht="13.5" thickBot="1"/>
    <row r="436" s="13" customFormat="1" ht="13.5" thickBot="1"/>
    <row r="437" s="13" customFormat="1" ht="13.5" thickBot="1"/>
    <row r="438" s="13" customFormat="1" ht="13.5" thickBot="1"/>
    <row r="439" s="13" customFormat="1" ht="13.5" thickBot="1"/>
    <row r="440" s="13" customFormat="1" ht="13.5" thickBot="1"/>
    <row r="441" s="13" customFormat="1" ht="13.5" thickBot="1"/>
    <row r="442" s="13" customFormat="1" ht="13.5" thickBot="1"/>
    <row r="443" s="13" customFormat="1" ht="13.5" thickBot="1"/>
    <row r="444" s="13" customFormat="1" ht="13.5" thickBot="1"/>
    <row r="445" s="13" customFormat="1" ht="13.5" thickBot="1"/>
    <row r="446" ht="14.5"/>
    <row r="447" ht="14.5"/>
    <row r="448" ht="14.5"/>
    <row r="449" ht="14.5"/>
    <row r="450" ht="14.5"/>
  </sheetData>
  <sheetProtection algorithmName="SHA-512" hashValue="jKaKQLISi9OGvLAKsL1LoFyd2QCEq1JCgyu4BZ+hF4G7y+M4lmekGXsyz031IZhuNPBfoHKwZTO/+8c5y2Jr6w==" saltValue="ap8cJn+IiTxZTzjnqpJ1yQ==" spinCount="100000" sheet="1" formatCells="0"/>
  <mergeCells count="12">
    <mergeCell ref="B2:E2"/>
    <mergeCell ref="B48:C48"/>
    <mergeCell ref="B41:C41"/>
    <mergeCell ref="B28:C28"/>
    <mergeCell ref="B36:C36"/>
    <mergeCell ref="B24:C24"/>
    <mergeCell ref="B4:C4"/>
    <mergeCell ref="B11:C11"/>
    <mergeCell ref="B13:C13"/>
    <mergeCell ref="B19:C19"/>
    <mergeCell ref="B10:C10"/>
    <mergeCell ref="B16:C16"/>
  </mergeCells>
  <dataValidations count="1">
    <dataValidation type="custom" allowBlank="1" showInputMessage="1" showErrorMessage="1" sqref="C44" xr:uid="{7A6682BD-5F54-4D59-8655-2B94EC86E6CA}">
      <formula1>ISNUMBER(C44)</formula1>
    </dataValidation>
  </dataValidations>
  <pageMargins left="0.7" right="0.7" top="0.75" bottom="0.75" header="0.3" footer="0.3"/>
  <pageSetup scale="37" orientation="portrait" r:id="rId1"/>
  <colBreaks count="1" manualBreakCount="1">
    <brk id="34" min="3" max="66"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64B25-EA94-4CD0-B9B5-732F66AB733E}">
  <sheetPr codeName="Sheet8">
    <tabColor theme="1" tint="0.34998626667073579"/>
  </sheetPr>
  <dimension ref="A1:CU545"/>
  <sheetViews>
    <sheetView showGridLines="0" zoomScale="90" zoomScaleNormal="90" zoomScaleSheetLayoutView="20" workbookViewId="0">
      <pane ySplit="2" topLeftCell="A3" activePane="bottomLeft" state="frozen"/>
      <selection activeCell="A3" sqref="A3"/>
      <selection pane="bottomLeft" activeCell="A3" sqref="A3"/>
    </sheetView>
  </sheetViews>
  <sheetFormatPr defaultColWidth="8.81640625" defaultRowHeight="14" outlineLevelRow="1"/>
  <cols>
    <col min="1" max="1" width="5.453125" style="110" customWidth="1"/>
    <col min="2" max="2" width="5" style="110" customWidth="1"/>
    <col min="3" max="3" width="49" style="110" customWidth="1"/>
    <col min="4" max="4" width="37.453125" style="110" customWidth="1"/>
    <col min="5" max="5" width="19.1796875" style="110" bestFit="1" customWidth="1"/>
    <col min="6" max="6" width="15.453125" style="110" customWidth="1"/>
    <col min="7" max="7" width="9.453125" style="110" customWidth="1"/>
    <col min="8" max="8" width="21.81640625" style="110" customWidth="1"/>
    <col min="9" max="9" width="22.453125" style="110" customWidth="1"/>
    <col min="10" max="10" width="19.81640625" style="110" customWidth="1"/>
    <col min="11" max="17" width="18.1796875" style="110" customWidth="1"/>
    <col min="18" max="24" width="18.1796875" style="110" bestFit="1" customWidth="1"/>
    <col min="25" max="33" width="16" style="110" customWidth="1"/>
    <col min="34" max="16384" width="8.81640625" style="110"/>
  </cols>
  <sheetData>
    <row r="1" spans="2:99" s="106" customFormat="1" ht="20.25" customHeight="1">
      <c r="B1" s="105"/>
      <c r="C1" s="105"/>
      <c r="D1" s="105"/>
      <c r="F1" s="619" t="s">
        <v>249</v>
      </c>
      <c r="G1" s="620"/>
      <c r="H1" s="107">
        <v>0</v>
      </c>
      <c r="I1" s="108">
        <f t="shared" ref="I1:AG1" si="0">IFERROR(IF((H1+1)&lt;=$D$18,H1+1,""),"")</f>
        <v>1</v>
      </c>
      <c r="J1" s="108">
        <f t="shared" si="0"/>
        <v>2</v>
      </c>
      <c r="K1" s="108">
        <f t="shared" si="0"/>
        <v>3</v>
      </c>
      <c r="L1" s="108">
        <f t="shared" si="0"/>
        <v>4</v>
      </c>
      <c r="M1" s="108">
        <f t="shared" si="0"/>
        <v>5</v>
      </c>
      <c r="N1" s="108">
        <f t="shared" si="0"/>
        <v>6</v>
      </c>
      <c r="O1" s="108">
        <f t="shared" si="0"/>
        <v>7</v>
      </c>
      <c r="P1" s="108">
        <f t="shared" si="0"/>
        <v>8</v>
      </c>
      <c r="Q1" s="108">
        <f t="shared" si="0"/>
        <v>9</v>
      </c>
      <c r="R1" s="108">
        <f t="shared" si="0"/>
        <v>10</v>
      </c>
      <c r="S1" s="108">
        <f t="shared" si="0"/>
        <v>11</v>
      </c>
      <c r="T1" s="108">
        <f t="shared" si="0"/>
        <v>12</v>
      </c>
      <c r="U1" s="108">
        <f t="shared" si="0"/>
        <v>13</v>
      </c>
      <c r="V1" s="108">
        <f t="shared" si="0"/>
        <v>14</v>
      </c>
      <c r="W1" s="108">
        <f t="shared" si="0"/>
        <v>15</v>
      </c>
      <c r="X1" s="108">
        <f t="shared" si="0"/>
        <v>16</v>
      </c>
      <c r="Y1" s="108">
        <f t="shared" si="0"/>
        <v>17</v>
      </c>
      <c r="Z1" s="108">
        <f t="shared" si="0"/>
        <v>18</v>
      </c>
      <c r="AA1" s="108">
        <f t="shared" si="0"/>
        <v>19</v>
      </c>
      <c r="AB1" s="108">
        <f t="shared" si="0"/>
        <v>20</v>
      </c>
      <c r="AC1" s="108">
        <f t="shared" si="0"/>
        <v>21</v>
      </c>
      <c r="AD1" s="108">
        <f t="shared" si="0"/>
        <v>22</v>
      </c>
      <c r="AE1" s="108">
        <f t="shared" si="0"/>
        <v>23</v>
      </c>
      <c r="AF1" s="108">
        <f t="shared" si="0"/>
        <v>24</v>
      </c>
      <c r="AG1" s="108">
        <f t="shared" si="0"/>
        <v>25</v>
      </c>
    </row>
    <row r="2" spans="2:99" s="106" customFormat="1" ht="20.25" customHeight="1">
      <c r="B2" s="105"/>
      <c r="C2" s="105"/>
      <c r="D2" s="105"/>
      <c r="F2" s="621" t="s">
        <v>250</v>
      </c>
      <c r="G2" s="622"/>
      <c r="H2" s="109">
        <f>D15</f>
        <v>2025</v>
      </c>
      <c r="I2" s="109">
        <f t="shared" ref="I2:AG2" si="1">H2+1</f>
        <v>2026</v>
      </c>
      <c r="J2" s="109">
        <f t="shared" si="1"/>
        <v>2027</v>
      </c>
      <c r="K2" s="109">
        <f t="shared" si="1"/>
        <v>2028</v>
      </c>
      <c r="L2" s="109">
        <f t="shared" si="1"/>
        <v>2029</v>
      </c>
      <c r="M2" s="109">
        <f t="shared" si="1"/>
        <v>2030</v>
      </c>
      <c r="N2" s="109">
        <f t="shared" si="1"/>
        <v>2031</v>
      </c>
      <c r="O2" s="109">
        <f t="shared" si="1"/>
        <v>2032</v>
      </c>
      <c r="P2" s="109">
        <f t="shared" si="1"/>
        <v>2033</v>
      </c>
      <c r="Q2" s="109">
        <f t="shared" si="1"/>
        <v>2034</v>
      </c>
      <c r="R2" s="109">
        <f t="shared" si="1"/>
        <v>2035</v>
      </c>
      <c r="S2" s="109">
        <f t="shared" si="1"/>
        <v>2036</v>
      </c>
      <c r="T2" s="109">
        <f t="shared" si="1"/>
        <v>2037</v>
      </c>
      <c r="U2" s="109">
        <f t="shared" si="1"/>
        <v>2038</v>
      </c>
      <c r="V2" s="109">
        <f t="shared" si="1"/>
        <v>2039</v>
      </c>
      <c r="W2" s="109">
        <f t="shared" si="1"/>
        <v>2040</v>
      </c>
      <c r="X2" s="109">
        <f t="shared" si="1"/>
        <v>2041</v>
      </c>
      <c r="Y2" s="109">
        <f t="shared" si="1"/>
        <v>2042</v>
      </c>
      <c r="Z2" s="109">
        <f t="shared" si="1"/>
        <v>2043</v>
      </c>
      <c r="AA2" s="109">
        <f t="shared" si="1"/>
        <v>2044</v>
      </c>
      <c r="AB2" s="109">
        <f t="shared" si="1"/>
        <v>2045</v>
      </c>
      <c r="AC2" s="109">
        <f t="shared" si="1"/>
        <v>2046</v>
      </c>
      <c r="AD2" s="109">
        <f t="shared" si="1"/>
        <v>2047</v>
      </c>
      <c r="AE2" s="109">
        <f t="shared" si="1"/>
        <v>2048</v>
      </c>
      <c r="AF2" s="109">
        <f t="shared" si="1"/>
        <v>2049</v>
      </c>
      <c r="AG2" s="109">
        <f t="shared" si="1"/>
        <v>2050</v>
      </c>
    </row>
    <row r="3" spans="2:99" ht="35" customHeight="1">
      <c r="B3" s="612" t="s">
        <v>699</v>
      </c>
      <c r="C3" s="612"/>
      <c r="D3" s="612"/>
      <c r="E3" s="612"/>
      <c r="F3" s="137"/>
      <c r="G3" s="137"/>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row>
    <row r="4" spans="2:99" ht="14.5" thickBot="1">
      <c r="C4" s="111"/>
      <c r="D4" s="112"/>
      <c r="E4" s="113"/>
      <c r="F4" s="113"/>
      <c r="G4" s="111"/>
      <c r="H4" s="114"/>
      <c r="I4" s="114"/>
      <c r="J4" s="114"/>
      <c r="K4" s="114"/>
      <c r="L4" s="114"/>
      <c r="M4" s="114"/>
      <c r="N4" s="114"/>
      <c r="O4" s="114"/>
      <c r="P4" s="114"/>
      <c r="Q4" s="114"/>
      <c r="R4" s="114"/>
      <c r="S4" s="114"/>
      <c r="T4" s="114"/>
      <c r="U4" s="114"/>
      <c r="V4" s="114"/>
      <c r="W4" s="114"/>
      <c r="X4" s="114"/>
      <c r="Y4" s="114"/>
      <c r="Z4" s="114"/>
      <c r="AA4" s="114"/>
      <c r="AB4" s="114"/>
      <c r="AC4" s="114"/>
      <c r="AD4" s="114"/>
      <c r="AE4" s="114"/>
      <c r="AF4" s="114"/>
      <c r="AG4" s="114"/>
    </row>
    <row r="5" spans="2:99" s="116" customFormat="1" ht="15" customHeight="1" thickBot="1">
      <c r="B5" s="115"/>
      <c r="C5" s="115" t="s">
        <v>539</v>
      </c>
      <c r="D5" s="634" t="str">
        <f>'2. Inputs'!D12</f>
        <v>22.34,83.23</v>
      </c>
      <c r="E5" s="635"/>
    </row>
    <row r="6" spans="2:99" s="116" customFormat="1" ht="14.5" thickBot="1">
      <c r="B6" s="115"/>
      <c r="C6" s="115" t="s">
        <v>540</v>
      </c>
      <c r="D6" s="634" t="str">
        <f>CONCATENATE('2. Inputs'!D7, "; ",'2. Inputs'!D8, "; ",'2. Inputs'!D9,"; ", '2. Inputs'!D10, "; ",'2. Inputs'!D11)</f>
        <v>Koshi; Morang; Biratnagar Metropolitan City; 10; Traffic Chowk</v>
      </c>
      <c r="E6" s="635"/>
    </row>
    <row r="7" spans="2:99" ht="14.5" thickBot="1">
      <c r="B7" s="115"/>
      <c r="C7" s="115" t="s">
        <v>541</v>
      </c>
      <c r="D7" s="634" t="s">
        <v>542</v>
      </c>
      <c r="E7" s="635"/>
    </row>
    <row r="8" spans="2:99">
      <c r="C8" s="117"/>
      <c r="D8" s="118"/>
    </row>
    <row r="9" spans="2:99" ht="14.5" thickBot="1">
      <c r="C9" s="117"/>
      <c r="D9" s="118"/>
    </row>
    <row r="10" spans="2:99" s="125" customFormat="1" ht="30" customHeight="1" thickBot="1">
      <c r="B10" s="28"/>
      <c r="C10" s="119" t="s">
        <v>251</v>
      </c>
      <c r="D10" s="120"/>
      <c r="E10" s="120"/>
      <c r="F10" s="121"/>
      <c r="G10" s="121"/>
      <c r="H10" s="121"/>
      <c r="I10" s="121"/>
      <c r="J10" s="121"/>
      <c r="K10" s="122"/>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c r="BH10" s="124"/>
      <c r="BI10" s="124"/>
      <c r="BJ10" s="124"/>
      <c r="BK10" s="124"/>
      <c r="BL10" s="124"/>
      <c r="BM10" s="124"/>
      <c r="BN10" s="124"/>
      <c r="BO10" s="124"/>
      <c r="BP10" s="124"/>
      <c r="BQ10" s="124"/>
      <c r="BR10" s="124"/>
      <c r="BS10" s="124"/>
      <c r="BT10" s="124"/>
      <c r="BU10" s="124"/>
      <c r="BV10" s="124"/>
      <c r="BW10" s="124"/>
      <c r="BX10" s="124"/>
      <c r="BY10" s="124"/>
      <c r="BZ10" s="124"/>
      <c r="CA10" s="124"/>
      <c r="CB10" s="124"/>
      <c r="CC10" s="124"/>
      <c r="CD10" s="124"/>
      <c r="CE10" s="124"/>
      <c r="CF10" s="124"/>
      <c r="CG10" s="124"/>
      <c r="CH10" s="124"/>
      <c r="CI10" s="124"/>
      <c r="CJ10" s="124"/>
      <c r="CK10" s="124"/>
      <c r="CL10" s="124"/>
      <c r="CM10" s="124"/>
      <c r="CN10" s="124"/>
      <c r="CO10" s="124"/>
      <c r="CP10" s="124"/>
      <c r="CQ10" s="124"/>
      <c r="CR10" s="124"/>
      <c r="CS10" s="124"/>
      <c r="CT10" s="124"/>
      <c r="CU10" s="124"/>
    </row>
    <row r="11" spans="2:99">
      <c r="C11" s="126"/>
      <c r="D11" s="127"/>
      <c r="E11" s="128"/>
    </row>
    <row r="12" spans="2:99" ht="30" customHeight="1">
      <c r="B12" s="129"/>
      <c r="C12" s="630" t="s">
        <v>252</v>
      </c>
      <c r="D12" s="631"/>
      <c r="E12" s="631"/>
    </row>
    <row r="13" spans="2:99" ht="14.5" outlineLevel="1" thickBot="1">
      <c r="C13" s="127"/>
      <c r="D13" s="127"/>
      <c r="E13" s="131"/>
    </row>
    <row r="14" spans="2:99" ht="14.5" outlineLevel="1" thickBot="1">
      <c r="B14" s="132"/>
      <c r="C14" s="132" t="s">
        <v>253</v>
      </c>
      <c r="D14" s="133"/>
      <c r="E14" s="133"/>
    </row>
    <row r="15" spans="2:99" ht="14.5" outlineLevel="1" thickBot="1">
      <c r="B15" s="115"/>
      <c r="C15" s="115" t="s">
        <v>254</v>
      </c>
      <c r="D15" s="24">
        <f>'2. Inputs'!D44</f>
        <v>2025</v>
      </c>
      <c r="E15" s="134"/>
      <c r="F15" s="128"/>
    </row>
    <row r="16" spans="2:99" ht="14.5" outlineLevel="1" thickBot="1">
      <c r="B16" s="115"/>
      <c r="C16" s="115" t="s">
        <v>255</v>
      </c>
      <c r="D16" s="24">
        <f>D15</f>
        <v>2025</v>
      </c>
      <c r="E16" s="134"/>
      <c r="F16" s="128"/>
    </row>
    <row r="17" spans="2:6" ht="14.5" outlineLevel="1" thickBot="1">
      <c r="B17" s="115"/>
      <c r="C17" s="115" t="s">
        <v>256</v>
      </c>
      <c r="D17" s="506">
        <v>1</v>
      </c>
      <c r="E17" s="134" t="s">
        <v>216</v>
      </c>
      <c r="F17" s="128"/>
    </row>
    <row r="18" spans="2:6" ht="14.5" outlineLevel="1" thickBot="1">
      <c r="B18" s="115"/>
      <c r="C18" s="115" t="s">
        <v>257</v>
      </c>
      <c r="D18" s="24">
        <f>'2. Inputs'!D45</f>
        <v>25</v>
      </c>
      <c r="E18" s="134" t="s">
        <v>258</v>
      </c>
      <c r="F18" s="413"/>
    </row>
    <row r="19" spans="2:6" ht="14.5" outlineLevel="1" thickBot="1">
      <c r="C19" s="135"/>
      <c r="D19" s="105"/>
      <c r="E19" s="131"/>
      <c r="F19" s="128"/>
    </row>
    <row r="20" spans="2:6" ht="14.5" outlineLevel="1" thickBot="1">
      <c r="B20" s="132"/>
      <c r="C20" s="132" t="s">
        <v>259</v>
      </c>
      <c r="D20" s="133"/>
      <c r="E20" s="133"/>
      <c r="F20" s="128"/>
    </row>
    <row r="21" spans="2:6" ht="14.5" outlineLevel="1" thickBot="1">
      <c r="B21" s="115"/>
      <c r="C21" s="115" t="s">
        <v>260</v>
      </c>
      <c r="D21" s="507">
        <v>0</v>
      </c>
      <c r="E21" s="134" t="s">
        <v>261</v>
      </c>
      <c r="F21" s="128"/>
    </row>
    <row r="22" spans="2:6" ht="14.5" outlineLevel="1" thickBot="1">
      <c r="B22" s="115"/>
      <c r="C22" s="115" t="s">
        <v>262</v>
      </c>
      <c r="D22" s="136">
        <v>0.08</v>
      </c>
      <c r="E22" s="134" t="s">
        <v>261</v>
      </c>
      <c r="F22" s="128"/>
    </row>
    <row r="23" spans="2:6" ht="14.5" outlineLevel="1" thickBot="1">
      <c r="F23" s="128"/>
    </row>
    <row r="24" spans="2:6" ht="14.5" outlineLevel="1" thickBot="1">
      <c r="B24" s="132"/>
      <c r="C24" s="132" t="s">
        <v>263</v>
      </c>
      <c r="D24" s="133"/>
      <c r="E24" s="133"/>
      <c r="F24" s="128"/>
    </row>
    <row r="25" spans="2:6" ht="14.5" outlineLevel="1" thickBot="1">
      <c r="B25" s="115"/>
      <c r="C25" s="115" t="s">
        <v>264</v>
      </c>
      <c r="D25" s="136">
        <f>'2. Inputs'!D46</f>
        <v>0.13</v>
      </c>
      <c r="E25" s="134" t="s">
        <v>261</v>
      </c>
      <c r="F25" s="128"/>
    </row>
    <row r="26" spans="2:6" ht="14.5" outlineLevel="1" thickBot="1">
      <c r="B26" s="115"/>
      <c r="C26" s="115" t="s">
        <v>543</v>
      </c>
      <c r="D26" s="507">
        <v>0</v>
      </c>
      <c r="E26" s="134" t="s">
        <v>261</v>
      </c>
      <c r="F26" s="414"/>
    </row>
    <row r="27" spans="2:6" ht="14.5" outlineLevel="1" thickBot="1">
      <c r="B27" s="115"/>
      <c r="C27" s="115" t="s">
        <v>544</v>
      </c>
      <c r="D27" s="508">
        <v>10</v>
      </c>
      <c r="E27" s="134" t="s">
        <v>258</v>
      </c>
      <c r="F27" s="128"/>
    </row>
    <row r="28" spans="2:6" ht="14.5" outlineLevel="1" thickBot="1">
      <c r="B28" s="115"/>
      <c r="C28" s="115" t="s">
        <v>545</v>
      </c>
      <c r="D28" s="507">
        <v>0.05</v>
      </c>
      <c r="E28" s="134" t="s">
        <v>261</v>
      </c>
      <c r="F28" s="128"/>
    </row>
    <row r="29" spans="2:6" ht="14.5" outlineLevel="1" thickBot="1">
      <c r="B29" s="115"/>
      <c r="C29" s="115" t="s">
        <v>546</v>
      </c>
      <c r="D29" s="508">
        <v>5</v>
      </c>
      <c r="E29" s="134" t="s">
        <v>258</v>
      </c>
      <c r="F29" s="128"/>
    </row>
    <row r="30" spans="2:6" ht="14.5" outlineLevel="1" thickBot="1">
      <c r="B30" s="115"/>
      <c r="C30" s="115" t="s">
        <v>547</v>
      </c>
      <c r="D30" s="507">
        <v>0.25</v>
      </c>
      <c r="E30" s="134" t="s">
        <v>261</v>
      </c>
      <c r="F30" s="128"/>
    </row>
    <row r="31" spans="2:6" ht="14.5" outlineLevel="1" thickBot="1">
      <c r="B31" s="115"/>
      <c r="C31" s="115" t="s">
        <v>548</v>
      </c>
      <c r="D31" s="507" t="s">
        <v>549</v>
      </c>
      <c r="E31" s="134" t="s">
        <v>258</v>
      </c>
      <c r="F31" s="128"/>
    </row>
    <row r="32" spans="2:6" ht="14.5" outlineLevel="1" thickBot="1">
      <c r="B32" s="115"/>
      <c r="C32" s="115" t="s">
        <v>266</v>
      </c>
      <c r="D32" s="507">
        <v>0</v>
      </c>
      <c r="E32" s="134" t="s">
        <v>261</v>
      </c>
      <c r="F32" s="128"/>
    </row>
    <row r="33" spans="2:6" ht="14.5" outlineLevel="1" thickBot="1">
      <c r="C33" s="135"/>
      <c r="D33" s="105"/>
      <c r="E33" s="131"/>
      <c r="F33" s="128"/>
    </row>
    <row r="34" spans="2:6" ht="14.5" outlineLevel="1" thickBot="1">
      <c r="B34" s="132"/>
      <c r="C34" s="132" t="s">
        <v>267</v>
      </c>
      <c r="D34" s="133"/>
      <c r="E34" s="133"/>
      <c r="F34" s="128"/>
    </row>
    <row r="35" spans="2:6" ht="14.5" outlineLevel="1" thickBot="1">
      <c r="B35" s="115"/>
      <c r="C35" s="115" t="s">
        <v>268</v>
      </c>
      <c r="D35" s="507">
        <v>0</v>
      </c>
      <c r="E35" s="134" t="s">
        <v>261</v>
      </c>
      <c r="F35" s="128"/>
    </row>
    <row r="36" spans="2:6" ht="14.5" outlineLevel="1" thickBot="1">
      <c r="B36" s="115"/>
      <c r="C36" s="115" t="s">
        <v>269</v>
      </c>
      <c r="D36" s="459">
        <f>D35*H148</f>
        <v>0</v>
      </c>
      <c r="E36" s="134" t="s">
        <v>270</v>
      </c>
      <c r="F36" s="128"/>
    </row>
    <row r="37" spans="2:6" ht="14.5" outlineLevel="1" thickBot="1">
      <c r="B37" s="115"/>
      <c r="C37" s="115" t="s">
        <v>271</v>
      </c>
      <c r="D37" s="507">
        <v>1</v>
      </c>
      <c r="E37" s="134" t="s">
        <v>261</v>
      </c>
      <c r="F37" s="128"/>
    </row>
    <row r="38" spans="2:6" ht="14.5" outlineLevel="1" thickBot="1">
      <c r="B38" s="115"/>
      <c r="C38" s="115" t="s">
        <v>272</v>
      </c>
      <c r="D38" s="24">
        <f>D36*D37</f>
        <v>0</v>
      </c>
      <c r="E38" s="134" t="s">
        <v>270</v>
      </c>
      <c r="F38" s="128"/>
    </row>
    <row r="39" spans="2:6" ht="14.5" thickBot="1">
      <c r="B39" s="115"/>
      <c r="C39" s="115" t="s">
        <v>273</v>
      </c>
      <c r="D39" s="24">
        <f>1-D37</f>
        <v>0</v>
      </c>
      <c r="E39" s="134" t="s">
        <v>261</v>
      </c>
      <c r="F39" s="128"/>
    </row>
    <row r="40" spans="2:6" ht="14.5" thickBot="1">
      <c r="B40" s="115"/>
      <c r="C40" s="115" t="s">
        <v>274</v>
      </c>
      <c r="D40" s="24">
        <f>D36-D38</f>
        <v>0</v>
      </c>
      <c r="E40" s="134" t="s">
        <v>270</v>
      </c>
      <c r="F40" s="128"/>
    </row>
    <row r="41" spans="2:6" ht="14.5" thickBot="1">
      <c r="B41" s="115"/>
      <c r="C41" s="115" t="s">
        <v>275</v>
      </c>
      <c r="D41" s="506">
        <v>5</v>
      </c>
      <c r="E41" s="134" t="s">
        <v>258</v>
      </c>
      <c r="F41" s="128"/>
    </row>
    <row r="42" spans="2:6" ht="14.5" outlineLevel="1" thickBot="1">
      <c r="C42" s="135"/>
      <c r="D42" s="105"/>
      <c r="E42" s="131"/>
      <c r="F42" s="128"/>
    </row>
    <row r="43" spans="2:6" ht="14.5" outlineLevel="1" thickBot="1">
      <c r="B43" s="132"/>
      <c r="C43" s="132" t="s">
        <v>276</v>
      </c>
      <c r="D43" s="133"/>
      <c r="E43" s="133"/>
      <c r="F43" s="128"/>
    </row>
    <row r="44" spans="2:6" ht="14.5" outlineLevel="1" thickBot="1">
      <c r="B44" s="115"/>
      <c r="C44" s="115" t="s">
        <v>277</v>
      </c>
      <c r="D44" s="507">
        <v>0.5</v>
      </c>
      <c r="E44" s="134" t="s">
        <v>261</v>
      </c>
      <c r="F44" s="128"/>
    </row>
    <row r="45" spans="2:6" ht="14.5" outlineLevel="1" thickBot="1">
      <c r="B45" s="115"/>
      <c r="C45" s="115" t="s">
        <v>278</v>
      </c>
      <c r="D45" s="507">
        <v>0</v>
      </c>
      <c r="E45" s="134" t="s">
        <v>261</v>
      </c>
      <c r="F45" s="128"/>
    </row>
    <row r="46" spans="2:6" ht="14.5" outlineLevel="1" thickBot="1">
      <c r="B46" s="115"/>
      <c r="C46" s="115" t="s">
        <v>550</v>
      </c>
      <c r="D46" s="507">
        <v>0.08</v>
      </c>
      <c r="E46" s="134" t="s">
        <v>261</v>
      </c>
      <c r="F46" s="128"/>
    </row>
    <row r="47" spans="2:6" ht="14.5" outlineLevel="1" thickBot="1">
      <c r="C47" s="135"/>
      <c r="D47" s="105"/>
      <c r="E47" s="131"/>
      <c r="F47" s="128"/>
    </row>
    <row r="48" spans="2:6" ht="14.5" outlineLevel="1" thickBot="1">
      <c r="B48" s="132"/>
      <c r="C48" s="132" t="s">
        <v>279</v>
      </c>
      <c r="D48" s="133"/>
      <c r="E48" s="133"/>
      <c r="F48" s="128"/>
    </row>
    <row r="49" spans="2:99" ht="14.5" outlineLevel="1" thickBot="1">
      <c r="B49" s="115"/>
      <c r="C49" s="115" t="s">
        <v>280</v>
      </c>
      <c r="D49" s="136">
        <v>0.5</v>
      </c>
      <c r="E49" s="134" t="s">
        <v>261</v>
      </c>
      <c r="F49" s="128"/>
    </row>
    <row r="50" spans="2:99" ht="14.5" outlineLevel="1" thickBot="1">
      <c r="B50" s="115"/>
      <c r="C50" s="115" t="s">
        <v>281</v>
      </c>
      <c r="D50" s="506">
        <v>0</v>
      </c>
      <c r="E50" s="134" t="s">
        <v>258</v>
      </c>
      <c r="F50" s="128"/>
    </row>
    <row r="51" spans="2:99" ht="14.5" outlineLevel="1" thickBot="1">
      <c r="B51" s="115"/>
      <c r="C51" s="115" t="s">
        <v>282</v>
      </c>
      <c r="D51" s="506">
        <v>5</v>
      </c>
      <c r="E51" s="134" t="s">
        <v>258</v>
      </c>
      <c r="F51" s="128"/>
    </row>
    <row r="52" spans="2:99" ht="14.5" outlineLevel="1" thickBot="1">
      <c r="B52" s="115"/>
      <c r="C52" s="115" t="s">
        <v>283</v>
      </c>
      <c r="D52" s="136">
        <v>0.12</v>
      </c>
      <c r="E52" s="134" t="s">
        <v>261</v>
      </c>
      <c r="F52" s="128"/>
    </row>
    <row r="53" spans="2:99" ht="14.5" outlineLevel="1" thickBot="1">
      <c r="C53" s="135"/>
      <c r="D53" s="105"/>
      <c r="E53" s="131"/>
      <c r="F53" s="128"/>
    </row>
    <row r="54" spans="2:99" ht="14.5" thickBot="1">
      <c r="B54" s="132"/>
      <c r="C54" s="132" t="s">
        <v>284</v>
      </c>
      <c r="D54" s="133"/>
      <c r="E54" s="133"/>
      <c r="F54" s="128"/>
    </row>
    <row r="55" spans="2:99" ht="14.5" thickBot="1">
      <c r="B55" s="115"/>
      <c r="C55" s="115" t="s">
        <v>274</v>
      </c>
      <c r="D55" s="24">
        <f>D40</f>
        <v>0</v>
      </c>
      <c r="E55" s="134" t="s">
        <v>270</v>
      </c>
      <c r="F55" s="128"/>
    </row>
    <row r="56" spans="2:99" ht="14.5" thickBot="1">
      <c r="B56" s="115"/>
      <c r="C56" s="115" t="s">
        <v>285</v>
      </c>
      <c r="D56" s="506">
        <v>0</v>
      </c>
      <c r="E56" s="134" t="s">
        <v>258</v>
      </c>
      <c r="F56" s="128"/>
    </row>
    <row r="57" spans="2:99" ht="14.5" thickBot="1">
      <c r="B57" s="115"/>
      <c r="C57" s="115" t="s">
        <v>286</v>
      </c>
      <c r="D57" s="506">
        <v>0</v>
      </c>
      <c r="E57" s="134" t="s">
        <v>258</v>
      </c>
      <c r="F57" s="128"/>
    </row>
    <row r="58" spans="2:99" ht="14.5" thickBot="1">
      <c r="B58" s="115"/>
      <c r="C58" s="115" t="s">
        <v>287</v>
      </c>
      <c r="D58" s="507">
        <v>0</v>
      </c>
      <c r="E58" s="134" t="s">
        <v>261</v>
      </c>
      <c r="F58" s="128"/>
    </row>
    <row r="59" spans="2:99" ht="14.5" thickBot="1">
      <c r="F59" s="128"/>
    </row>
    <row r="60" spans="2:99" ht="14.5" thickBot="1">
      <c r="B60" s="132"/>
      <c r="C60" s="132" t="s">
        <v>551</v>
      </c>
      <c r="D60" s="137"/>
      <c r="E60" s="137"/>
      <c r="F60" s="415"/>
      <c r="G60" s="138" t="s">
        <v>288</v>
      </c>
      <c r="H60" s="511">
        <v>0</v>
      </c>
      <c r="I60" s="511">
        <v>0</v>
      </c>
      <c r="J60" s="511">
        <v>0</v>
      </c>
      <c r="K60" s="511">
        <v>0</v>
      </c>
      <c r="L60" s="511">
        <v>0</v>
      </c>
      <c r="M60" s="511">
        <v>0</v>
      </c>
      <c r="N60" s="511">
        <v>0</v>
      </c>
      <c r="O60" s="511">
        <v>0</v>
      </c>
      <c r="P60" s="511">
        <v>0</v>
      </c>
      <c r="Q60" s="511">
        <v>0</v>
      </c>
      <c r="R60" s="511">
        <v>0</v>
      </c>
      <c r="S60" s="511">
        <v>0</v>
      </c>
      <c r="T60" s="511">
        <v>0</v>
      </c>
      <c r="U60" s="511">
        <v>0</v>
      </c>
      <c r="V60" s="511">
        <v>0</v>
      </c>
      <c r="W60" s="511">
        <v>0</v>
      </c>
      <c r="X60" s="511">
        <v>0</v>
      </c>
      <c r="Y60" s="511">
        <v>0</v>
      </c>
      <c r="Z60" s="511">
        <v>0</v>
      </c>
      <c r="AA60" s="511">
        <v>0</v>
      </c>
      <c r="AB60" s="511">
        <v>0</v>
      </c>
      <c r="AC60" s="511">
        <v>0</v>
      </c>
      <c r="AD60" s="511">
        <v>0</v>
      </c>
      <c r="AE60" s="511">
        <v>0</v>
      </c>
      <c r="AF60" s="511">
        <v>0</v>
      </c>
      <c r="AG60" s="511">
        <v>0</v>
      </c>
    </row>
    <row r="61" spans="2:99" ht="14.5" thickBot="1">
      <c r="B61" s="134"/>
      <c r="C61" s="134" t="s">
        <v>289</v>
      </c>
      <c r="D61" s="24">
        <f>'2. Inputs'!D48</f>
        <v>140</v>
      </c>
      <c r="E61" s="139" t="s">
        <v>117</v>
      </c>
      <c r="F61" s="128"/>
      <c r="G61" s="138" t="s">
        <v>290</v>
      </c>
      <c r="H61" s="138">
        <f>D61</f>
        <v>140</v>
      </c>
      <c r="I61" s="138">
        <f>H61*(1+I60)</f>
        <v>140</v>
      </c>
      <c r="J61" s="138">
        <f t="shared" ref="J61:AG61" si="2">I61*(1+J60)</f>
        <v>140</v>
      </c>
      <c r="K61" s="138">
        <f t="shared" si="2"/>
        <v>140</v>
      </c>
      <c r="L61" s="138">
        <f t="shared" si="2"/>
        <v>140</v>
      </c>
      <c r="M61" s="138">
        <f t="shared" si="2"/>
        <v>140</v>
      </c>
      <c r="N61" s="138">
        <f t="shared" si="2"/>
        <v>140</v>
      </c>
      <c r="O61" s="138">
        <f t="shared" si="2"/>
        <v>140</v>
      </c>
      <c r="P61" s="138">
        <f t="shared" si="2"/>
        <v>140</v>
      </c>
      <c r="Q61" s="138">
        <f t="shared" si="2"/>
        <v>140</v>
      </c>
      <c r="R61" s="138">
        <f t="shared" si="2"/>
        <v>140</v>
      </c>
      <c r="S61" s="138">
        <f t="shared" si="2"/>
        <v>140</v>
      </c>
      <c r="T61" s="138">
        <f t="shared" si="2"/>
        <v>140</v>
      </c>
      <c r="U61" s="138">
        <f t="shared" si="2"/>
        <v>140</v>
      </c>
      <c r="V61" s="138">
        <f t="shared" si="2"/>
        <v>140</v>
      </c>
      <c r="W61" s="138">
        <f t="shared" si="2"/>
        <v>140</v>
      </c>
      <c r="X61" s="138">
        <f t="shared" si="2"/>
        <v>140</v>
      </c>
      <c r="Y61" s="138">
        <f t="shared" si="2"/>
        <v>140</v>
      </c>
      <c r="Z61" s="138">
        <f t="shared" si="2"/>
        <v>140</v>
      </c>
      <c r="AA61" s="138">
        <f t="shared" si="2"/>
        <v>140</v>
      </c>
      <c r="AB61" s="138">
        <f t="shared" si="2"/>
        <v>140</v>
      </c>
      <c r="AC61" s="138">
        <f t="shared" si="2"/>
        <v>140</v>
      </c>
      <c r="AD61" s="138">
        <f t="shared" si="2"/>
        <v>140</v>
      </c>
      <c r="AE61" s="138">
        <f t="shared" si="2"/>
        <v>140</v>
      </c>
      <c r="AF61" s="138">
        <f t="shared" si="2"/>
        <v>140</v>
      </c>
      <c r="AG61" s="138">
        <f t="shared" si="2"/>
        <v>140</v>
      </c>
    </row>
    <row r="62" spans="2:99" ht="14.5" thickBot="1">
      <c r="X62" s="140"/>
      <c r="Y62" s="140"/>
      <c r="Z62" s="140"/>
      <c r="AA62" s="140"/>
      <c r="AB62" s="140"/>
      <c r="AC62" s="140"/>
      <c r="AD62" s="140"/>
      <c r="AE62" s="140"/>
      <c r="AF62" s="140"/>
      <c r="AG62" s="140"/>
    </row>
    <row r="63" spans="2:99" s="125" customFormat="1" ht="30" customHeight="1" thickBot="1">
      <c r="B63" s="28"/>
      <c r="C63" s="119" t="s">
        <v>291</v>
      </c>
      <c r="D63" s="120"/>
      <c r="E63" s="120"/>
      <c r="F63" s="120"/>
      <c r="G63" s="120"/>
      <c r="H63" s="120"/>
      <c r="I63" s="120"/>
      <c r="J63" s="120"/>
      <c r="K63" s="120"/>
      <c r="L63" s="120"/>
      <c r="M63" s="120"/>
      <c r="N63" s="120"/>
      <c r="O63" s="120"/>
      <c r="P63" s="120"/>
      <c r="Q63" s="120"/>
      <c r="R63" s="120"/>
      <c r="S63" s="120"/>
      <c r="T63" s="120"/>
      <c r="U63" s="120"/>
      <c r="V63" s="120"/>
      <c r="W63" s="120"/>
      <c r="X63" s="120"/>
      <c r="Y63" s="120"/>
      <c r="Z63" s="120"/>
      <c r="AA63" s="120"/>
      <c r="AB63" s="120"/>
      <c r="AC63" s="120"/>
      <c r="AD63" s="120"/>
      <c r="AE63" s="120"/>
      <c r="AF63" s="120"/>
      <c r="AG63" s="141"/>
      <c r="AH63" s="124"/>
      <c r="AI63" s="124"/>
      <c r="AJ63" s="124"/>
      <c r="AK63" s="124"/>
      <c r="AL63" s="124"/>
      <c r="AM63" s="124"/>
      <c r="AN63" s="124"/>
      <c r="AO63" s="124"/>
      <c r="AP63" s="124"/>
      <c r="AQ63" s="124"/>
      <c r="AR63" s="124"/>
      <c r="AS63" s="124"/>
      <c r="AT63" s="124"/>
      <c r="AU63" s="124"/>
      <c r="AV63" s="124"/>
      <c r="AW63" s="124"/>
      <c r="AX63" s="124"/>
      <c r="AY63" s="124"/>
      <c r="AZ63" s="124"/>
      <c r="BA63" s="124"/>
      <c r="BB63" s="124"/>
      <c r="BC63" s="124"/>
      <c r="BD63" s="124"/>
      <c r="BE63" s="124"/>
      <c r="BF63" s="124"/>
      <c r="BG63" s="124"/>
      <c r="BH63" s="124"/>
      <c r="BI63" s="124"/>
      <c r="BJ63" s="124"/>
      <c r="BK63" s="124"/>
      <c r="BL63" s="124"/>
      <c r="BM63" s="124"/>
      <c r="BN63" s="124"/>
      <c r="BO63" s="124"/>
      <c r="BP63" s="124"/>
      <c r="BQ63" s="124"/>
      <c r="BR63" s="124"/>
      <c r="BS63" s="124"/>
      <c r="BT63" s="124"/>
      <c r="BU63" s="124"/>
      <c r="BV63" s="124"/>
      <c r="BW63" s="124"/>
      <c r="BX63" s="124"/>
      <c r="BY63" s="124"/>
      <c r="BZ63" s="124"/>
      <c r="CA63" s="124"/>
      <c r="CB63" s="124"/>
      <c r="CC63" s="124"/>
      <c r="CD63" s="124"/>
      <c r="CE63" s="124"/>
      <c r="CF63" s="124"/>
      <c r="CG63" s="124"/>
      <c r="CH63" s="124"/>
      <c r="CI63" s="124"/>
      <c r="CJ63" s="124"/>
      <c r="CK63" s="124"/>
      <c r="CL63" s="124"/>
      <c r="CM63" s="124"/>
      <c r="CN63" s="124"/>
      <c r="CO63" s="124"/>
      <c r="CP63" s="124"/>
      <c r="CQ63" s="124"/>
      <c r="CR63" s="124"/>
      <c r="CS63" s="124"/>
      <c r="CT63" s="124"/>
      <c r="CU63" s="124"/>
    </row>
    <row r="64" spans="2:99" outlineLevel="1">
      <c r="X64" s="140"/>
      <c r="Y64" s="140"/>
      <c r="Z64" s="140"/>
      <c r="AA64" s="140"/>
      <c r="AB64" s="140"/>
      <c r="AC64" s="140"/>
      <c r="AD64" s="140"/>
      <c r="AE64" s="140"/>
      <c r="AF64" s="140"/>
      <c r="AG64" s="140"/>
    </row>
    <row r="65" spans="2:99" ht="23" outlineLevel="1">
      <c r="B65" s="129"/>
      <c r="C65" s="142" t="s">
        <v>292</v>
      </c>
      <c r="D65" s="143"/>
      <c r="E65" s="143"/>
      <c r="F65" s="143"/>
      <c r="G65" s="143"/>
      <c r="H65" s="144"/>
      <c r="I65" s="144"/>
      <c r="J65" s="144"/>
      <c r="K65" s="145" t="e" cm="1">
        <f t="array" ref="K65">USDJUSD1</f>
        <v>#NAME?</v>
      </c>
      <c r="L65" s="145" t="e" cm="1">
        <f t="array" ref="L65">USDKUSD1</f>
        <v>#NAME?</v>
      </c>
      <c r="M65" s="145" t="e" cm="1">
        <f t="array" ref="M65">USDLUSD1</f>
        <v>#NAME?</v>
      </c>
      <c r="N65" s="145" t="e" cm="1">
        <f t="array" ref="N65">USDMUSD1</f>
        <v>#NAME?</v>
      </c>
      <c r="O65" s="145" t="e" cm="1">
        <f t="array" ref="O65">USDNUSD1</f>
        <v>#NAME?</v>
      </c>
      <c r="P65" s="145" t="e" cm="1">
        <f t="array" ref="P65">USDOUSD1</f>
        <v>#NAME?</v>
      </c>
      <c r="Q65" s="145" t="e" cm="1">
        <f t="array" ref="Q65">USDPUSD1</f>
        <v>#NAME?</v>
      </c>
      <c r="R65" s="145" t="e" cm="1">
        <f t="array" ref="R65">USDQUSD1</f>
        <v>#NAME?</v>
      </c>
      <c r="S65" s="145" t="e" cm="1">
        <f t="array" ref="S65">USDRUSD1</f>
        <v>#NAME?</v>
      </c>
      <c r="T65" s="145" t="e" cm="1">
        <f t="array" ref="T65">USDSUSD1</f>
        <v>#NAME?</v>
      </c>
      <c r="U65" s="145" t="e" cm="1">
        <f t="array" ref="U65">USDTUSD1</f>
        <v>#NAME?</v>
      </c>
      <c r="V65" s="145" t="e" cm="1">
        <f t="array" ref="V65">USDUUSD1</f>
        <v>#NAME?</v>
      </c>
      <c r="W65" s="145" t="e" cm="1">
        <f t="array" ref="W65">USDVUSD1</f>
        <v>#NAME?</v>
      </c>
      <c r="X65" s="145" t="e" cm="1">
        <f t="array" ref="X65">USDWUSD1</f>
        <v>#NAME?</v>
      </c>
      <c r="Y65" s="145" t="e" cm="1">
        <f t="array" ref="Y65">USDXUSD1</f>
        <v>#NAME?</v>
      </c>
      <c r="Z65" s="145" t="e" cm="1">
        <f t="array" ref="Z65">USDYUSD1</f>
        <v>#NAME?</v>
      </c>
      <c r="AA65" s="145" t="e" cm="1">
        <f t="array" ref="AA65">USDZUSD1</f>
        <v>#NAME?</v>
      </c>
      <c r="AB65" s="145" t="e" cm="1">
        <f t="array" ref="AB65">USDAAUSD1</f>
        <v>#NAME?</v>
      </c>
      <c r="AC65" s="145" t="e" cm="1">
        <f t="array" ref="AC65">USDABUSD1</f>
        <v>#NAME?</v>
      </c>
      <c r="AD65" s="145" t="e" cm="1">
        <f t="array" ref="AD65">USDACUSD1</f>
        <v>#NAME?</v>
      </c>
      <c r="AE65" s="145" t="e" cm="1">
        <f t="array" ref="AE65">USDADUSD1</f>
        <v>#NAME?</v>
      </c>
      <c r="AF65" s="145" t="e" cm="1">
        <f t="array" ref="AF65">USDAEUSD1</f>
        <v>#NAME?</v>
      </c>
      <c r="AG65" s="145" t="e" cm="1">
        <f t="array" ref="AG65">USDAFUSD1</f>
        <v>#NAME?</v>
      </c>
    </row>
    <row r="66" spans="2:99" ht="15" customHeight="1" outlineLevel="1" thickBot="1">
      <c r="X66" s="140"/>
      <c r="Y66" s="140"/>
      <c r="Z66" s="140"/>
      <c r="AA66" s="140"/>
      <c r="AB66" s="140"/>
      <c r="AC66" s="140"/>
      <c r="AD66" s="140"/>
      <c r="AE66" s="140"/>
      <c r="AF66" s="140"/>
      <c r="AG66" s="140"/>
    </row>
    <row r="67" spans="2:99" ht="14.5" outlineLevel="1" thickBot="1">
      <c r="B67" s="132"/>
      <c r="C67" s="132" t="s">
        <v>293</v>
      </c>
      <c r="D67" s="133"/>
      <c r="E67" s="133"/>
      <c r="G67" s="146"/>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47"/>
    </row>
    <row r="68" spans="2:99" ht="14.5" outlineLevel="1" thickBot="1">
      <c r="B68" s="148"/>
      <c r="C68" s="139" t="s">
        <v>294</v>
      </c>
      <c r="D68" s="509">
        <v>1000</v>
      </c>
      <c r="E68" s="139" t="s">
        <v>270</v>
      </c>
      <c r="G68" s="149"/>
      <c r="H68" s="150">
        <f>D68</f>
        <v>1000</v>
      </c>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row>
    <row r="69" spans="2:99" ht="14.5" outlineLevel="1" thickBot="1">
      <c r="B69" s="148"/>
      <c r="C69" s="148" t="s">
        <v>295</v>
      </c>
      <c r="D69" s="510"/>
      <c r="E69" s="148" t="s">
        <v>270</v>
      </c>
      <c r="G69" s="149"/>
      <c r="H69" s="151">
        <f>D69</f>
        <v>0</v>
      </c>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row>
    <row r="70" spans="2:99" ht="14.5" outlineLevel="1" thickBot="1">
      <c r="B70" s="148"/>
      <c r="C70" s="152" t="s">
        <v>296</v>
      </c>
      <c r="D70" s="153"/>
      <c r="E70" s="154"/>
      <c r="G70" s="155"/>
      <c r="H70" s="156">
        <f>SUM(H68:H69)</f>
        <v>1000</v>
      </c>
      <c r="I70" s="156">
        <f t="shared" ref="I70:AG70" si="3">SUM(I68:I69)</f>
        <v>0</v>
      </c>
      <c r="J70" s="156">
        <f t="shared" si="3"/>
        <v>0</v>
      </c>
      <c r="K70" s="156">
        <f t="shared" si="3"/>
        <v>0</v>
      </c>
      <c r="L70" s="156">
        <f t="shared" si="3"/>
        <v>0</v>
      </c>
      <c r="M70" s="156">
        <f t="shared" si="3"/>
        <v>0</v>
      </c>
      <c r="N70" s="156">
        <f t="shared" si="3"/>
        <v>0</v>
      </c>
      <c r="O70" s="156">
        <f t="shared" si="3"/>
        <v>0</v>
      </c>
      <c r="P70" s="156">
        <f t="shared" si="3"/>
        <v>0</v>
      </c>
      <c r="Q70" s="156">
        <f t="shared" si="3"/>
        <v>0</v>
      </c>
      <c r="R70" s="156">
        <f t="shared" si="3"/>
        <v>0</v>
      </c>
      <c r="S70" s="156">
        <f>SUM(S68:S69)</f>
        <v>0</v>
      </c>
      <c r="T70" s="156">
        <f t="shared" si="3"/>
        <v>0</v>
      </c>
      <c r="U70" s="156">
        <f t="shared" si="3"/>
        <v>0</v>
      </c>
      <c r="V70" s="156">
        <f t="shared" si="3"/>
        <v>0</v>
      </c>
      <c r="W70" s="156">
        <f t="shared" si="3"/>
        <v>0</v>
      </c>
      <c r="X70" s="156">
        <f t="shared" si="3"/>
        <v>0</v>
      </c>
      <c r="Y70" s="156">
        <f t="shared" si="3"/>
        <v>0</v>
      </c>
      <c r="Z70" s="156">
        <f t="shared" si="3"/>
        <v>0</v>
      </c>
      <c r="AA70" s="156">
        <f t="shared" si="3"/>
        <v>0</v>
      </c>
      <c r="AB70" s="156">
        <f t="shared" si="3"/>
        <v>0</v>
      </c>
      <c r="AC70" s="156">
        <f t="shared" si="3"/>
        <v>0</v>
      </c>
      <c r="AD70" s="156">
        <f t="shared" si="3"/>
        <v>0</v>
      </c>
      <c r="AE70" s="156">
        <f t="shared" si="3"/>
        <v>0</v>
      </c>
      <c r="AF70" s="156">
        <f t="shared" si="3"/>
        <v>0</v>
      </c>
      <c r="AG70" s="156">
        <f t="shared" si="3"/>
        <v>0</v>
      </c>
    </row>
    <row r="71" spans="2:99" ht="15" customHeight="1" outlineLevel="1" thickBot="1">
      <c r="D71" s="128"/>
    </row>
    <row r="72" spans="2:99" ht="14.5" outlineLevel="1" thickBot="1">
      <c r="B72" s="132"/>
      <c r="C72" s="132" t="s">
        <v>297</v>
      </c>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row>
    <row r="73" spans="2:99" ht="14.5" outlineLevel="1" thickBot="1">
      <c r="B73" s="148"/>
      <c r="C73" s="303" t="s">
        <v>565</v>
      </c>
      <c r="D73" s="148" t="s">
        <v>183</v>
      </c>
      <c r="E73" s="166">
        <f>'Backend Design'!C42</f>
        <v>100.45</v>
      </c>
      <c r="F73" s="134" t="s">
        <v>62</v>
      </c>
      <c r="G73" s="158"/>
      <c r="H73" s="159"/>
      <c r="I73" s="159"/>
      <c r="J73" s="159"/>
      <c r="K73" s="159"/>
      <c r="L73" s="159"/>
      <c r="M73" s="159"/>
      <c r="N73" s="159"/>
      <c r="O73" s="159"/>
      <c r="P73" s="159"/>
      <c r="Q73" s="159"/>
      <c r="R73" s="159"/>
      <c r="S73" s="159"/>
      <c r="T73" s="159"/>
      <c r="U73" s="159"/>
      <c r="V73" s="159"/>
      <c r="W73" s="159"/>
      <c r="X73" s="159"/>
      <c r="Y73" s="159"/>
      <c r="Z73" s="159"/>
      <c r="AA73" s="159"/>
      <c r="AB73" s="159"/>
      <c r="AC73" s="159"/>
      <c r="AD73" s="159"/>
      <c r="AE73" s="159"/>
      <c r="AF73" s="159"/>
      <c r="AG73" s="159"/>
    </row>
    <row r="74" spans="2:99" ht="14.5" outlineLevel="1" thickBot="1">
      <c r="B74" s="148"/>
      <c r="C74" s="186" t="s">
        <v>573</v>
      </c>
      <c r="D74" s="148" t="s">
        <v>298</v>
      </c>
      <c r="E74" s="529">
        <f>IF('2. Inputs'!D15="RCC roof", 8.5, 7.5)</f>
        <v>7.5</v>
      </c>
      <c r="F74" s="134" t="s">
        <v>299</v>
      </c>
      <c r="G74" s="158"/>
      <c r="H74" s="159"/>
      <c r="I74" s="159"/>
      <c r="J74" s="159"/>
      <c r="K74" s="159"/>
      <c r="L74" s="159"/>
      <c r="M74" s="159"/>
      <c r="N74" s="159"/>
      <c r="O74" s="159"/>
      <c r="P74" s="159"/>
      <c r="Q74" s="159"/>
      <c r="R74" s="159"/>
      <c r="S74" s="159"/>
      <c r="T74" s="159"/>
      <c r="U74" s="159"/>
      <c r="V74" s="159"/>
      <c r="W74" s="159"/>
      <c r="X74" s="159"/>
      <c r="Y74" s="159"/>
      <c r="Z74" s="159"/>
      <c r="AA74" s="159"/>
      <c r="AB74" s="159"/>
      <c r="AC74" s="159"/>
      <c r="AD74" s="159"/>
      <c r="AE74" s="159"/>
      <c r="AF74" s="159"/>
      <c r="AG74" s="159"/>
    </row>
    <row r="75" spans="2:99" ht="14.5" outlineLevel="1" thickBot="1">
      <c r="B75" s="148"/>
      <c r="C75" s="517"/>
      <c r="D75" s="148" t="s">
        <v>300</v>
      </c>
      <c r="E75" s="507">
        <v>0.25</v>
      </c>
      <c r="F75" s="134" t="s">
        <v>261</v>
      </c>
      <c r="G75" s="158"/>
      <c r="H75" s="159"/>
      <c r="I75" s="159"/>
      <c r="J75" s="159"/>
      <c r="K75" s="159"/>
      <c r="L75" s="159"/>
      <c r="M75" s="159"/>
      <c r="N75" s="159"/>
      <c r="O75" s="159"/>
      <c r="P75" s="159"/>
      <c r="Q75" s="159"/>
      <c r="R75" s="159"/>
      <c r="S75" s="159"/>
      <c r="T75" s="159"/>
      <c r="U75" s="159"/>
      <c r="V75" s="159"/>
      <c r="W75" s="159"/>
      <c r="X75" s="159"/>
      <c r="Y75" s="159"/>
      <c r="Z75" s="159"/>
      <c r="AA75" s="159"/>
      <c r="AB75" s="159"/>
      <c r="AC75" s="159"/>
      <c r="AD75" s="159"/>
      <c r="AE75" s="159"/>
      <c r="AF75" s="159"/>
      <c r="AG75" s="159"/>
    </row>
    <row r="76" spans="2:99" ht="14.5" outlineLevel="1" thickBot="1">
      <c r="B76" s="148"/>
      <c r="C76" s="517"/>
      <c r="D76" s="148" t="s">
        <v>301</v>
      </c>
      <c r="E76" s="512">
        <v>4.9800000000000004</v>
      </c>
      <c r="F76" s="134" t="s">
        <v>302</v>
      </c>
      <c r="G76" s="158"/>
      <c r="H76" s="159"/>
      <c r="I76" s="159"/>
      <c r="J76" s="159"/>
      <c r="K76" s="159"/>
      <c r="L76" s="159"/>
      <c r="M76" s="159"/>
      <c r="N76" s="159"/>
      <c r="O76" s="159"/>
      <c r="P76" s="159"/>
      <c r="Q76" s="159"/>
      <c r="R76" s="159"/>
      <c r="S76" s="159"/>
      <c r="T76" s="159"/>
      <c r="U76" s="159"/>
      <c r="V76" s="159"/>
      <c r="W76" s="159"/>
      <c r="X76" s="159"/>
      <c r="Y76" s="159"/>
      <c r="Z76" s="159"/>
      <c r="AA76" s="159"/>
      <c r="AB76" s="159"/>
      <c r="AC76" s="159"/>
      <c r="AD76" s="159"/>
      <c r="AE76" s="159"/>
      <c r="AF76" s="159"/>
      <c r="AG76" s="159"/>
    </row>
    <row r="77" spans="2:99" ht="14.5" outlineLevel="1" thickBot="1">
      <c r="B77" s="148"/>
      <c r="C77" s="517"/>
      <c r="D77" s="148" t="s">
        <v>303</v>
      </c>
      <c r="E77" s="528">
        <v>6.0000000000000001E-3</v>
      </c>
      <c r="F77" s="134" t="s">
        <v>261</v>
      </c>
      <c r="G77" s="158"/>
      <c r="H77" s="159"/>
      <c r="I77" s="159"/>
      <c r="J77" s="159"/>
      <c r="K77" s="159"/>
      <c r="L77" s="159"/>
      <c r="M77" s="159"/>
      <c r="N77" s="159"/>
      <c r="O77" s="159"/>
      <c r="P77" s="159"/>
      <c r="Q77" s="159"/>
      <c r="R77" s="159"/>
      <c r="S77" s="159"/>
      <c r="T77" s="159"/>
      <c r="U77" s="159"/>
      <c r="V77" s="159"/>
      <c r="W77" s="159"/>
      <c r="X77" s="159"/>
      <c r="Y77" s="159"/>
      <c r="Z77" s="159"/>
      <c r="AA77" s="159"/>
      <c r="AB77" s="159"/>
      <c r="AC77" s="159"/>
      <c r="AD77" s="159"/>
      <c r="AE77" s="159"/>
      <c r="AF77" s="159"/>
      <c r="AG77" s="159"/>
    </row>
    <row r="78" spans="2:99" ht="14.5" outlineLevel="1" thickBot="1">
      <c r="B78" s="148"/>
      <c r="C78" s="92"/>
      <c r="D78" s="148" t="s">
        <v>601</v>
      </c>
      <c r="E78" s="457">
        <f>'Reference Prices'!J41/Initial_ER</f>
        <v>25250</v>
      </c>
      <c r="F78" s="134" t="s">
        <v>270</v>
      </c>
      <c r="G78" s="158"/>
      <c r="H78" s="159"/>
      <c r="I78" s="159"/>
      <c r="J78" s="159"/>
      <c r="K78" s="159"/>
      <c r="L78" s="159"/>
      <c r="M78" s="159"/>
      <c r="N78" s="159"/>
      <c r="O78" s="159"/>
      <c r="P78" s="159"/>
      <c r="Q78" s="159"/>
      <c r="R78" s="159"/>
      <c r="S78" s="159"/>
      <c r="T78" s="159"/>
      <c r="U78" s="159"/>
      <c r="V78" s="159"/>
      <c r="W78" s="159"/>
      <c r="X78" s="159"/>
      <c r="Y78" s="159"/>
      <c r="Z78" s="159"/>
      <c r="AA78" s="159"/>
      <c r="AB78" s="159"/>
      <c r="AC78" s="159"/>
      <c r="AD78" s="159"/>
      <c r="AE78" s="159"/>
      <c r="AF78" s="159"/>
      <c r="AG78" s="159"/>
    </row>
    <row r="79" spans="2:99" ht="14.5" outlineLevel="1" thickBot="1">
      <c r="B79" s="148"/>
      <c r="C79" s="92"/>
      <c r="D79" s="148" t="s">
        <v>304</v>
      </c>
      <c r="E79" s="508">
        <v>26</v>
      </c>
      <c r="F79" s="134" t="s">
        <v>258</v>
      </c>
      <c r="G79" s="158"/>
      <c r="H79" s="159"/>
      <c r="I79" s="159"/>
      <c r="J79" s="159"/>
      <c r="K79" s="159"/>
      <c r="L79" s="159"/>
      <c r="M79" s="159"/>
      <c r="N79" s="159"/>
      <c r="O79" s="159"/>
      <c r="P79" s="159"/>
      <c r="Q79" s="159"/>
      <c r="R79" s="159"/>
      <c r="S79" s="159"/>
      <c r="T79" s="159"/>
      <c r="U79" s="159"/>
      <c r="V79" s="159"/>
      <c r="W79" s="159"/>
      <c r="X79" s="159"/>
      <c r="Y79" s="159"/>
      <c r="Z79" s="159"/>
      <c r="AA79" s="159"/>
      <c r="AB79" s="159"/>
      <c r="AC79" s="159"/>
      <c r="AD79" s="159"/>
      <c r="AE79" s="159"/>
      <c r="AF79" s="159"/>
      <c r="AG79" s="159"/>
    </row>
    <row r="80" spans="2:99" ht="14.5" outlineLevel="1" thickBot="1">
      <c r="B80" s="148"/>
      <c r="C80" s="92"/>
      <c r="D80" s="148" t="s">
        <v>305</v>
      </c>
      <c r="E80" s="507">
        <v>0.7</v>
      </c>
      <c r="F80" s="134" t="s">
        <v>261</v>
      </c>
      <c r="G80" s="158"/>
      <c r="H80" s="150">
        <f>SUM(E78)</f>
        <v>25250</v>
      </c>
      <c r="I80" s="150">
        <f t="shared" ref="I80:AG80" si="4">IF(I$1&lt;=$D$18,(IFERROR(IF(MOD(I$1,$E79)=0,$E80*$E78,0),0)),0)</f>
        <v>0</v>
      </c>
      <c r="J80" s="150">
        <f t="shared" si="4"/>
        <v>0</v>
      </c>
      <c r="K80" s="150">
        <f t="shared" si="4"/>
        <v>0</v>
      </c>
      <c r="L80" s="150">
        <f t="shared" si="4"/>
        <v>0</v>
      </c>
      <c r="M80" s="150">
        <f t="shared" si="4"/>
        <v>0</v>
      </c>
      <c r="N80" s="150">
        <f t="shared" si="4"/>
        <v>0</v>
      </c>
      <c r="O80" s="150">
        <f t="shared" si="4"/>
        <v>0</v>
      </c>
      <c r="P80" s="150">
        <f t="shared" si="4"/>
        <v>0</v>
      </c>
      <c r="Q80" s="150">
        <f t="shared" si="4"/>
        <v>0</v>
      </c>
      <c r="R80" s="150">
        <f t="shared" si="4"/>
        <v>0</v>
      </c>
      <c r="S80" s="150">
        <f t="shared" si="4"/>
        <v>0</v>
      </c>
      <c r="T80" s="150">
        <f t="shared" si="4"/>
        <v>0</v>
      </c>
      <c r="U80" s="150">
        <f t="shared" si="4"/>
        <v>0</v>
      </c>
      <c r="V80" s="150">
        <f t="shared" si="4"/>
        <v>0</v>
      </c>
      <c r="W80" s="150">
        <f t="shared" si="4"/>
        <v>0</v>
      </c>
      <c r="X80" s="150">
        <f t="shared" si="4"/>
        <v>0</v>
      </c>
      <c r="Y80" s="150">
        <f t="shared" si="4"/>
        <v>0</v>
      </c>
      <c r="Z80" s="150">
        <f t="shared" si="4"/>
        <v>0</v>
      </c>
      <c r="AA80" s="150">
        <f t="shared" si="4"/>
        <v>0</v>
      </c>
      <c r="AB80" s="150">
        <f t="shared" si="4"/>
        <v>0</v>
      </c>
      <c r="AC80" s="150">
        <f t="shared" si="4"/>
        <v>0</v>
      </c>
      <c r="AD80" s="150">
        <f t="shared" si="4"/>
        <v>0</v>
      </c>
      <c r="AE80" s="150">
        <f t="shared" si="4"/>
        <v>0</v>
      </c>
      <c r="AF80" s="150">
        <f t="shared" si="4"/>
        <v>0</v>
      </c>
      <c r="AG80" s="150">
        <f t="shared" si="4"/>
        <v>0</v>
      </c>
      <c r="AH80" s="128"/>
      <c r="AI80" s="128"/>
      <c r="AJ80" s="128"/>
      <c r="AK80" s="128"/>
      <c r="AL80" s="128"/>
      <c r="AM80" s="128"/>
      <c r="AN80" s="128"/>
      <c r="AO80" s="128"/>
      <c r="AP80" s="128"/>
      <c r="AQ80" s="128"/>
      <c r="AR80" s="128"/>
      <c r="AS80" s="128"/>
      <c r="AT80" s="128"/>
      <c r="AU80" s="128"/>
      <c r="AV80" s="128"/>
      <c r="AW80" s="128"/>
      <c r="AX80" s="128"/>
      <c r="AY80" s="128"/>
      <c r="AZ80" s="128"/>
      <c r="BA80" s="128"/>
      <c r="BB80" s="128"/>
      <c r="BC80" s="128"/>
      <c r="BD80" s="128"/>
      <c r="BE80" s="128"/>
      <c r="BF80" s="128"/>
      <c r="BG80" s="128"/>
      <c r="BH80" s="128"/>
      <c r="BI80" s="128"/>
      <c r="BJ80" s="128"/>
      <c r="BK80" s="128"/>
      <c r="BL80" s="128"/>
      <c r="BM80" s="128"/>
      <c r="BN80" s="128"/>
      <c r="BO80" s="128"/>
      <c r="BP80" s="128"/>
      <c r="BQ80" s="128"/>
      <c r="BR80" s="128"/>
      <c r="BS80" s="128"/>
      <c r="BT80" s="128"/>
      <c r="BU80" s="128"/>
      <c r="BV80" s="128"/>
      <c r="BW80" s="128"/>
      <c r="BX80" s="128"/>
      <c r="BY80" s="128"/>
      <c r="BZ80" s="128"/>
      <c r="CA80" s="128"/>
      <c r="CB80" s="128"/>
      <c r="CC80" s="128"/>
      <c r="CD80" s="128"/>
      <c r="CE80" s="128"/>
      <c r="CF80" s="128"/>
      <c r="CG80" s="128"/>
      <c r="CH80" s="128"/>
      <c r="CI80" s="128"/>
      <c r="CJ80" s="128"/>
      <c r="CK80" s="128"/>
      <c r="CL80" s="128"/>
      <c r="CM80" s="128"/>
      <c r="CN80" s="128"/>
      <c r="CO80" s="128"/>
      <c r="CP80" s="128"/>
      <c r="CQ80" s="128"/>
      <c r="CR80" s="128"/>
      <c r="CS80" s="128"/>
      <c r="CT80" s="128"/>
      <c r="CU80" s="128"/>
    </row>
    <row r="81" spans="2:33" ht="14.5" outlineLevel="1" thickBot="1">
      <c r="B81" s="148"/>
      <c r="C81" s="517"/>
      <c r="D81" s="148" t="s">
        <v>306</v>
      </c>
      <c r="E81" s="166">
        <f>E74*E73</f>
        <v>753.375</v>
      </c>
      <c r="F81" s="134" t="s">
        <v>307</v>
      </c>
      <c r="G81" s="158"/>
      <c r="H81" s="159"/>
      <c r="I81" s="159"/>
      <c r="J81" s="159"/>
      <c r="K81" s="159"/>
      <c r="L81" s="159"/>
      <c r="M81" s="159"/>
      <c r="N81" s="159"/>
      <c r="O81" s="159"/>
      <c r="P81" s="159"/>
      <c r="Q81" s="159"/>
      <c r="R81" s="159"/>
      <c r="S81" s="159"/>
      <c r="T81" s="159"/>
      <c r="U81" s="159"/>
      <c r="V81" s="159"/>
      <c r="W81" s="159"/>
      <c r="X81" s="159"/>
      <c r="Y81" s="159"/>
      <c r="Z81" s="159"/>
      <c r="AA81" s="159"/>
      <c r="AB81" s="159"/>
      <c r="AC81" s="159"/>
      <c r="AD81" s="159"/>
      <c r="AE81" s="159"/>
      <c r="AF81" s="159"/>
      <c r="AG81" s="159"/>
    </row>
    <row r="82" spans="2:33" ht="14.5" outlineLevel="1" thickBot="1">
      <c r="B82" s="148"/>
      <c r="C82" s="92"/>
      <c r="D82" s="148" t="s">
        <v>308</v>
      </c>
      <c r="E82" s="454">
        <f>'Backend Design'!C46</f>
        <v>154969.23749999999</v>
      </c>
      <c r="F82" s="134" t="s">
        <v>309</v>
      </c>
      <c r="G82" s="455"/>
      <c r="H82" s="163"/>
      <c r="I82" s="164"/>
      <c r="J82" s="164"/>
      <c r="K82" s="164"/>
      <c r="L82" s="164"/>
      <c r="M82" s="164"/>
      <c r="N82" s="164"/>
      <c r="O82" s="164"/>
      <c r="P82" s="164"/>
      <c r="Q82" s="164"/>
      <c r="R82" s="164"/>
      <c r="S82" s="164"/>
      <c r="T82" s="164"/>
      <c r="U82" s="164"/>
      <c r="V82" s="164"/>
      <c r="W82" s="164"/>
      <c r="X82" s="164"/>
      <c r="Y82" s="164"/>
      <c r="Z82" s="164"/>
      <c r="AA82" s="164"/>
      <c r="AB82" s="164"/>
      <c r="AC82" s="164"/>
      <c r="AD82" s="164"/>
      <c r="AE82" s="164"/>
      <c r="AF82" s="164"/>
      <c r="AG82" s="164"/>
    </row>
    <row r="83" spans="2:33" ht="14.5" outlineLevel="1" thickBot="1">
      <c r="B83" s="148"/>
      <c r="C83" s="303" t="s">
        <v>566</v>
      </c>
      <c r="D83" s="148" t="s">
        <v>183</v>
      </c>
      <c r="E83" s="157">
        <f>'Backend Design'!C21*'Backend Design'!C22</f>
        <v>100</v>
      </c>
      <c r="F83" s="134" t="s">
        <v>57</v>
      </c>
      <c r="G83" s="165"/>
      <c r="H83" s="160"/>
      <c r="I83" s="160"/>
      <c r="J83" s="160"/>
      <c r="K83" s="160"/>
      <c r="L83" s="160"/>
      <c r="M83" s="160"/>
      <c r="N83" s="160"/>
      <c r="O83" s="160"/>
      <c r="P83" s="160"/>
      <c r="Q83" s="160"/>
      <c r="R83" s="160"/>
      <c r="S83" s="160"/>
      <c r="T83" s="160"/>
      <c r="U83" s="160"/>
      <c r="V83" s="160"/>
      <c r="W83" s="160"/>
      <c r="X83" s="160"/>
      <c r="Y83" s="160"/>
      <c r="Z83" s="160"/>
      <c r="AA83" s="160"/>
      <c r="AB83" s="160"/>
      <c r="AC83" s="160"/>
      <c r="AD83" s="160"/>
      <c r="AE83" s="160"/>
      <c r="AF83" s="160"/>
      <c r="AG83" s="160"/>
    </row>
    <row r="84" spans="2:33" ht="14.5" outlineLevel="1" thickBot="1">
      <c r="B84" s="148"/>
      <c r="C84" s="186" t="s">
        <v>574</v>
      </c>
      <c r="D84" s="148" t="s">
        <v>600</v>
      </c>
      <c r="E84" s="166">
        <f>'Reference Prices'!J43/Initial_ER</f>
        <v>16857.142857142859</v>
      </c>
      <c r="F84" s="134" t="s">
        <v>270</v>
      </c>
      <c r="G84" s="150">
        <f>E84/E83</f>
        <v>168.57142857142858</v>
      </c>
      <c r="H84" s="159"/>
      <c r="I84" s="159"/>
      <c r="J84" s="159"/>
      <c r="K84" s="159"/>
      <c r="L84" s="159"/>
      <c r="M84" s="159"/>
      <c r="N84" s="159"/>
      <c r="O84" s="159"/>
      <c r="P84" s="159"/>
      <c r="Q84" s="159"/>
      <c r="R84" s="159"/>
      <c r="S84" s="159"/>
      <c r="T84" s="159"/>
      <c r="U84" s="159"/>
      <c r="V84" s="159"/>
      <c r="W84" s="159"/>
      <c r="X84" s="159"/>
      <c r="Y84" s="159"/>
      <c r="Z84" s="159"/>
      <c r="AA84" s="159"/>
      <c r="AB84" s="159"/>
      <c r="AC84" s="159"/>
      <c r="AD84" s="159"/>
      <c r="AE84" s="159"/>
      <c r="AF84" s="159"/>
      <c r="AG84" s="159"/>
    </row>
    <row r="85" spans="2:33" ht="14.5" outlineLevel="1" thickBot="1">
      <c r="B85" s="148"/>
      <c r="C85" s="92"/>
      <c r="D85" s="148" t="s">
        <v>310</v>
      </c>
      <c r="E85" s="507">
        <v>0.95</v>
      </c>
      <c r="F85" s="134" t="s">
        <v>261</v>
      </c>
      <c r="G85" s="158"/>
      <c r="H85" s="159"/>
      <c r="I85" s="159"/>
      <c r="J85" s="159"/>
      <c r="K85" s="159"/>
      <c r="L85" s="159"/>
      <c r="M85" s="159"/>
      <c r="N85" s="159"/>
      <c r="O85" s="159"/>
      <c r="P85" s="159"/>
      <c r="Q85" s="159"/>
      <c r="R85" s="159"/>
      <c r="S85" s="159"/>
      <c r="T85" s="159"/>
      <c r="U85" s="159"/>
      <c r="V85" s="159"/>
      <c r="W85" s="159"/>
      <c r="X85" s="159"/>
      <c r="Y85" s="159"/>
      <c r="Z85" s="159"/>
      <c r="AA85" s="159"/>
      <c r="AB85" s="159"/>
      <c r="AC85" s="159"/>
      <c r="AD85" s="159"/>
      <c r="AE85" s="159"/>
      <c r="AF85" s="159"/>
      <c r="AG85" s="159"/>
    </row>
    <row r="86" spans="2:33" ht="14.5" outlineLevel="1" thickBot="1">
      <c r="B86" s="148"/>
      <c r="C86" s="92"/>
      <c r="D86" s="148" t="s">
        <v>304</v>
      </c>
      <c r="E86" s="508">
        <v>15</v>
      </c>
      <c r="F86" s="134" t="s">
        <v>258</v>
      </c>
      <c r="G86" s="158"/>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row>
    <row r="87" spans="2:33" ht="14.5" outlineLevel="1" thickBot="1">
      <c r="B87" s="148"/>
      <c r="C87" s="92"/>
      <c r="D87" s="148" t="s">
        <v>305</v>
      </c>
      <c r="E87" s="136">
        <f>'Reference Prices'!J43/'Reference Prices'!K60</f>
        <v>0.36216571639105422</v>
      </c>
      <c r="F87" s="134" t="s">
        <v>261</v>
      </c>
      <c r="G87" s="162"/>
      <c r="H87" s="167">
        <f>SUM(E84)</f>
        <v>16857.142857142859</v>
      </c>
      <c r="I87" s="167">
        <f t="shared" ref="I87:AG87" si="5">IF(I$1&lt;=$D$18,(IFERROR(IF(MOD(I$1,$E86)=0,$E87*$E84,0),0)),0)</f>
        <v>0</v>
      </c>
      <c r="J87" s="167">
        <f t="shared" si="5"/>
        <v>0</v>
      </c>
      <c r="K87" s="167">
        <f t="shared" si="5"/>
        <v>0</v>
      </c>
      <c r="L87" s="167">
        <f t="shared" si="5"/>
        <v>0</v>
      </c>
      <c r="M87" s="167">
        <f t="shared" si="5"/>
        <v>0</v>
      </c>
      <c r="N87" s="167">
        <f t="shared" si="5"/>
        <v>0</v>
      </c>
      <c r="O87" s="167">
        <f t="shared" si="5"/>
        <v>0</v>
      </c>
      <c r="P87" s="167">
        <f t="shared" si="5"/>
        <v>0</v>
      </c>
      <c r="Q87" s="167">
        <f t="shared" si="5"/>
        <v>0</v>
      </c>
      <c r="R87" s="167">
        <f t="shared" si="5"/>
        <v>0</v>
      </c>
      <c r="S87" s="167">
        <f t="shared" si="5"/>
        <v>0</v>
      </c>
      <c r="T87" s="167">
        <f t="shared" si="5"/>
        <v>0</v>
      </c>
      <c r="U87" s="167">
        <f t="shared" si="5"/>
        <v>0</v>
      </c>
      <c r="V87" s="167">
        <f t="shared" si="5"/>
        <v>0</v>
      </c>
      <c r="W87" s="167">
        <f t="shared" si="5"/>
        <v>6105.0792191634855</v>
      </c>
      <c r="X87" s="167">
        <f t="shared" si="5"/>
        <v>0</v>
      </c>
      <c r="Y87" s="167">
        <f t="shared" si="5"/>
        <v>0</v>
      </c>
      <c r="Z87" s="167">
        <f t="shared" si="5"/>
        <v>0</v>
      </c>
      <c r="AA87" s="167">
        <f t="shared" si="5"/>
        <v>0</v>
      </c>
      <c r="AB87" s="167">
        <f t="shared" si="5"/>
        <v>0</v>
      </c>
      <c r="AC87" s="167">
        <f t="shared" si="5"/>
        <v>0</v>
      </c>
      <c r="AD87" s="167">
        <f t="shared" si="5"/>
        <v>0</v>
      </c>
      <c r="AE87" s="167">
        <f t="shared" si="5"/>
        <v>0</v>
      </c>
      <c r="AF87" s="167">
        <f t="shared" si="5"/>
        <v>0</v>
      </c>
      <c r="AG87" s="167">
        <f t="shared" si="5"/>
        <v>0</v>
      </c>
    </row>
    <row r="88" spans="2:33" ht="14.5" outlineLevel="1" thickBot="1">
      <c r="B88" s="148"/>
      <c r="C88" s="303" t="s">
        <v>567</v>
      </c>
      <c r="D88" s="148" t="s">
        <v>183</v>
      </c>
      <c r="E88" s="508">
        <v>0</v>
      </c>
      <c r="F88" s="134" t="s">
        <v>311</v>
      </c>
      <c r="G88" s="158"/>
      <c r="H88" s="159"/>
      <c r="I88" s="159"/>
      <c r="J88" s="159"/>
      <c r="K88" s="159"/>
      <c r="L88" s="159"/>
      <c r="M88" s="159"/>
      <c r="N88" s="159"/>
      <c r="O88" s="159"/>
      <c r="P88" s="159"/>
      <c r="Q88" s="159"/>
      <c r="R88" s="159"/>
      <c r="S88" s="159"/>
      <c r="T88" s="159"/>
      <c r="U88" s="159"/>
      <c r="V88" s="159"/>
      <c r="W88" s="159"/>
      <c r="X88" s="159"/>
      <c r="Y88" s="159"/>
      <c r="Z88" s="159"/>
      <c r="AA88" s="159"/>
      <c r="AB88" s="159"/>
      <c r="AC88" s="159"/>
      <c r="AD88" s="159"/>
      <c r="AE88" s="159"/>
      <c r="AF88" s="159"/>
      <c r="AG88" s="159"/>
    </row>
    <row r="89" spans="2:33" ht="14.5" outlineLevel="1" thickBot="1">
      <c r="B89" s="148"/>
      <c r="C89" s="186" t="s">
        <v>575</v>
      </c>
      <c r="D89" s="148" t="s">
        <v>312</v>
      </c>
      <c r="E89" s="157">
        <f>E88*0.8*365</f>
        <v>0</v>
      </c>
      <c r="F89" s="134" t="s">
        <v>309</v>
      </c>
      <c r="G89" s="158"/>
      <c r="H89" s="159"/>
      <c r="I89" s="159"/>
      <c r="J89" s="159"/>
      <c r="K89" s="159"/>
      <c r="L89" s="159"/>
      <c r="M89" s="159"/>
      <c r="N89" s="159"/>
      <c r="O89" s="159"/>
      <c r="P89" s="159"/>
      <c r="Q89" s="159"/>
      <c r="R89" s="159"/>
      <c r="S89" s="159"/>
      <c r="T89" s="159"/>
      <c r="U89" s="159"/>
      <c r="V89" s="159"/>
      <c r="W89" s="159"/>
      <c r="X89" s="159"/>
      <c r="Y89" s="159"/>
      <c r="Z89" s="159"/>
      <c r="AA89" s="159"/>
      <c r="AB89" s="159"/>
      <c r="AC89" s="159"/>
      <c r="AD89" s="159"/>
      <c r="AE89" s="159"/>
      <c r="AF89" s="159"/>
      <c r="AG89" s="159"/>
    </row>
    <row r="90" spans="2:33" ht="14.5" outlineLevel="1" thickBot="1">
      <c r="B90" s="148"/>
      <c r="C90" s="92"/>
      <c r="D90" s="148" t="s">
        <v>76</v>
      </c>
      <c r="E90" s="157">
        <f>E88*400</f>
        <v>0</v>
      </c>
      <c r="F90" s="134" t="s">
        <v>270</v>
      </c>
      <c r="G90" s="150">
        <v>0</v>
      </c>
      <c r="H90" s="159"/>
      <c r="I90" s="159"/>
      <c r="J90" s="159"/>
      <c r="K90" s="159"/>
      <c r="L90" s="159"/>
      <c r="M90" s="159"/>
      <c r="N90" s="159"/>
      <c r="O90" s="159"/>
      <c r="P90" s="159"/>
      <c r="Q90" s="159"/>
      <c r="R90" s="159"/>
      <c r="S90" s="159"/>
      <c r="T90" s="159"/>
      <c r="U90" s="159"/>
      <c r="V90" s="159"/>
      <c r="W90" s="159"/>
      <c r="X90" s="159"/>
      <c r="Y90" s="159"/>
      <c r="Z90" s="159"/>
      <c r="AA90" s="159"/>
      <c r="AB90" s="159"/>
      <c r="AC90" s="159"/>
      <c r="AD90" s="159"/>
      <c r="AE90" s="159"/>
      <c r="AF90" s="159"/>
      <c r="AG90" s="159"/>
    </row>
    <row r="91" spans="2:33" ht="14.5" outlineLevel="1" thickBot="1">
      <c r="B91" s="148"/>
      <c r="C91" s="92"/>
      <c r="D91" s="148" t="s">
        <v>304</v>
      </c>
      <c r="E91" s="508">
        <v>16</v>
      </c>
      <c r="F91" s="134" t="s">
        <v>258</v>
      </c>
      <c r="G91" s="158"/>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row>
    <row r="92" spans="2:33" ht="14.5" outlineLevel="1" thickBot="1">
      <c r="B92" s="148"/>
      <c r="C92" s="92"/>
      <c r="D92" s="148" t="s">
        <v>305</v>
      </c>
      <c r="E92" s="508">
        <v>0.7</v>
      </c>
      <c r="F92" s="134" t="s">
        <v>261</v>
      </c>
      <c r="G92" s="162"/>
      <c r="H92" s="167">
        <f>SUM(E90)</f>
        <v>0</v>
      </c>
      <c r="I92" s="167">
        <f t="shared" ref="I92:AG92" si="6">IF(I$1&lt;=$D$18,(IFERROR(IF(MOD(I$1,$E91)=0,$E92*$E90,0),0)),0)</f>
        <v>0</v>
      </c>
      <c r="J92" s="167">
        <f t="shared" si="6"/>
        <v>0</v>
      </c>
      <c r="K92" s="167">
        <f t="shared" si="6"/>
        <v>0</v>
      </c>
      <c r="L92" s="167">
        <f t="shared" si="6"/>
        <v>0</v>
      </c>
      <c r="M92" s="167">
        <f t="shared" si="6"/>
        <v>0</v>
      </c>
      <c r="N92" s="167">
        <f t="shared" si="6"/>
        <v>0</v>
      </c>
      <c r="O92" s="167">
        <f t="shared" si="6"/>
        <v>0</v>
      </c>
      <c r="P92" s="167">
        <f t="shared" si="6"/>
        <v>0</v>
      </c>
      <c r="Q92" s="167">
        <f t="shared" si="6"/>
        <v>0</v>
      </c>
      <c r="R92" s="167">
        <f t="shared" si="6"/>
        <v>0</v>
      </c>
      <c r="S92" s="167">
        <f t="shared" si="6"/>
        <v>0</v>
      </c>
      <c r="T92" s="167">
        <f t="shared" si="6"/>
        <v>0</v>
      </c>
      <c r="U92" s="167">
        <f t="shared" si="6"/>
        <v>0</v>
      </c>
      <c r="V92" s="167">
        <f t="shared" si="6"/>
        <v>0</v>
      </c>
      <c r="W92" s="167">
        <f t="shared" si="6"/>
        <v>0</v>
      </c>
      <c r="X92" s="167">
        <f t="shared" si="6"/>
        <v>0</v>
      </c>
      <c r="Y92" s="167">
        <f t="shared" si="6"/>
        <v>0</v>
      </c>
      <c r="Z92" s="167">
        <f t="shared" si="6"/>
        <v>0</v>
      </c>
      <c r="AA92" s="167">
        <f t="shared" si="6"/>
        <v>0</v>
      </c>
      <c r="AB92" s="167">
        <f t="shared" si="6"/>
        <v>0</v>
      </c>
      <c r="AC92" s="167">
        <f t="shared" si="6"/>
        <v>0</v>
      </c>
      <c r="AD92" s="167">
        <f t="shared" si="6"/>
        <v>0</v>
      </c>
      <c r="AE92" s="167">
        <f t="shared" si="6"/>
        <v>0</v>
      </c>
      <c r="AF92" s="167">
        <f t="shared" si="6"/>
        <v>0</v>
      </c>
      <c r="AG92" s="167">
        <f t="shared" si="6"/>
        <v>0</v>
      </c>
    </row>
    <row r="93" spans="2:33" ht="14.5" outlineLevel="1" thickBot="1">
      <c r="B93" s="148"/>
      <c r="C93" s="303" t="s">
        <v>537</v>
      </c>
      <c r="D93" s="148" t="s">
        <v>183</v>
      </c>
      <c r="E93" s="506">
        <v>0</v>
      </c>
      <c r="F93" s="134" t="s">
        <v>57</v>
      </c>
      <c r="G93" s="158"/>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row>
    <row r="94" spans="2:33" ht="14.5" outlineLevel="1" thickBot="1">
      <c r="B94" s="148"/>
      <c r="C94" s="186" t="s">
        <v>576</v>
      </c>
      <c r="D94" s="148" t="s">
        <v>76</v>
      </c>
      <c r="E94" s="506">
        <v>0</v>
      </c>
      <c r="F94" s="134" t="s">
        <v>270</v>
      </c>
      <c r="G94" s="150">
        <v>0</v>
      </c>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row>
    <row r="95" spans="2:33" ht="14.5" outlineLevel="1" thickBot="1">
      <c r="B95" s="148"/>
      <c r="C95" s="92"/>
      <c r="D95" s="148" t="s">
        <v>304</v>
      </c>
      <c r="E95" s="506">
        <v>16</v>
      </c>
      <c r="F95" s="134" t="s">
        <v>258</v>
      </c>
      <c r="G95" s="158"/>
      <c r="H95" s="159"/>
      <c r="I95" s="159"/>
      <c r="J95" s="159"/>
      <c r="K95" s="159"/>
      <c r="L95" s="159"/>
      <c r="M95" s="159"/>
      <c r="N95" s="159"/>
      <c r="O95" s="159"/>
      <c r="P95" s="159"/>
      <c r="Q95" s="159"/>
      <c r="R95" s="159"/>
      <c r="S95" s="159"/>
      <c r="T95" s="159"/>
      <c r="U95" s="159"/>
      <c r="V95" s="159"/>
      <c r="W95" s="159"/>
      <c r="X95" s="159"/>
      <c r="Y95" s="159"/>
      <c r="Z95" s="159"/>
      <c r="AA95" s="159"/>
      <c r="AB95" s="159"/>
      <c r="AC95" s="159"/>
      <c r="AD95" s="159"/>
      <c r="AE95" s="159"/>
      <c r="AF95" s="159"/>
      <c r="AG95" s="159"/>
    </row>
    <row r="96" spans="2:33" ht="14.5" outlineLevel="1" thickBot="1">
      <c r="B96" s="148"/>
      <c r="C96" s="92"/>
      <c r="D96" s="148" t="s">
        <v>305</v>
      </c>
      <c r="E96" s="506">
        <v>0.9</v>
      </c>
      <c r="F96" s="134" t="s">
        <v>261</v>
      </c>
      <c r="G96" s="162"/>
      <c r="H96" s="167">
        <f>SUM(E94)</f>
        <v>0</v>
      </c>
      <c r="I96" s="167">
        <f t="shared" ref="I96:AG96" si="7">IF(I$1&lt;=$D$18,(IFERROR(IF(MOD(I$1,$E95)=0,$E96*$E94,0),0)),0)</f>
        <v>0</v>
      </c>
      <c r="J96" s="167">
        <f t="shared" si="7"/>
        <v>0</v>
      </c>
      <c r="K96" s="167">
        <f t="shared" si="7"/>
        <v>0</v>
      </c>
      <c r="L96" s="167">
        <f t="shared" si="7"/>
        <v>0</v>
      </c>
      <c r="M96" s="167">
        <f t="shared" si="7"/>
        <v>0</v>
      </c>
      <c r="N96" s="167">
        <f t="shared" si="7"/>
        <v>0</v>
      </c>
      <c r="O96" s="167">
        <f t="shared" si="7"/>
        <v>0</v>
      </c>
      <c r="P96" s="167">
        <f t="shared" si="7"/>
        <v>0</v>
      </c>
      <c r="Q96" s="167">
        <f t="shared" si="7"/>
        <v>0</v>
      </c>
      <c r="R96" s="167">
        <f t="shared" si="7"/>
        <v>0</v>
      </c>
      <c r="S96" s="167">
        <f t="shared" si="7"/>
        <v>0</v>
      </c>
      <c r="T96" s="167">
        <f t="shared" si="7"/>
        <v>0</v>
      </c>
      <c r="U96" s="167">
        <f t="shared" si="7"/>
        <v>0</v>
      </c>
      <c r="V96" s="167">
        <f t="shared" si="7"/>
        <v>0</v>
      </c>
      <c r="W96" s="167">
        <f t="shared" si="7"/>
        <v>0</v>
      </c>
      <c r="X96" s="167">
        <f t="shared" si="7"/>
        <v>0</v>
      </c>
      <c r="Y96" s="167">
        <f t="shared" si="7"/>
        <v>0</v>
      </c>
      <c r="Z96" s="167">
        <f t="shared" si="7"/>
        <v>0</v>
      </c>
      <c r="AA96" s="167">
        <f t="shared" si="7"/>
        <v>0</v>
      </c>
      <c r="AB96" s="167">
        <f t="shared" si="7"/>
        <v>0</v>
      </c>
      <c r="AC96" s="167">
        <f t="shared" si="7"/>
        <v>0</v>
      </c>
      <c r="AD96" s="167">
        <f t="shared" si="7"/>
        <v>0</v>
      </c>
      <c r="AE96" s="167">
        <f t="shared" si="7"/>
        <v>0</v>
      </c>
      <c r="AF96" s="167">
        <f t="shared" si="7"/>
        <v>0</v>
      </c>
      <c r="AG96" s="167">
        <f t="shared" si="7"/>
        <v>0</v>
      </c>
    </row>
    <row r="97" spans="1:99" ht="14.5" outlineLevel="1" thickBot="1">
      <c r="B97" s="148"/>
      <c r="C97" s="303" t="s">
        <v>538</v>
      </c>
      <c r="D97" s="148" t="s">
        <v>183</v>
      </c>
      <c r="E97" s="506">
        <v>0</v>
      </c>
      <c r="F97" s="134" t="s">
        <v>57</v>
      </c>
      <c r="G97" s="158"/>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row>
    <row r="98" spans="1:99" ht="14.5" outlineLevel="1" thickBot="1">
      <c r="B98" s="148"/>
      <c r="C98" s="186" t="s">
        <v>577</v>
      </c>
      <c r="D98" s="148" t="s">
        <v>312</v>
      </c>
      <c r="E98" s="506">
        <v>0</v>
      </c>
      <c r="F98" s="134" t="s">
        <v>309</v>
      </c>
      <c r="G98" s="158"/>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row>
    <row r="99" spans="1:99" ht="14.5" outlineLevel="1" thickBot="1">
      <c r="B99" s="148"/>
      <c r="C99" s="92"/>
      <c r="D99" s="148" t="s">
        <v>76</v>
      </c>
      <c r="E99" s="506">
        <v>0</v>
      </c>
      <c r="F99" s="134" t="s">
        <v>270</v>
      </c>
      <c r="G99" s="150">
        <v>0</v>
      </c>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row>
    <row r="100" spans="1:99" ht="14.5" outlineLevel="1" thickBot="1">
      <c r="B100" s="148"/>
      <c r="C100" s="92"/>
      <c r="D100" s="148" t="s">
        <v>304</v>
      </c>
      <c r="E100" s="506">
        <v>8</v>
      </c>
      <c r="F100" s="134" t="s">
        <v>258</v>
      </c>
      <c r="G100" s="158"/>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row>
    <row r="101" spans="1:99" ht="14.5" outlineLevel="1" thickBot="1">
      <c r="B101" s="148"/>
      <c r="C101" s="92"/>
      <c r="D101" s="148" t="s">
        <v>305</v>
      </c>
      <c r="E101" s="506">
        <v>0.9</v>
      </c>
      <c r="F101" s="134" t="s">
        <v>261</v>
      </c>
      <c r="G101" s="162"/>
      <c r="H101" s="167">
        <f>SUM(E99)</f>
        <v>0</v>
      </c>
      <c r="I101" s="167">
        <f t="shared" ref="I101:AG101" si="8">IF(I$1&lt;=$D$18,(IFERROR(IF(MOD(I$1,$E100)=0,$E101*$E99,0),0)),0)</f>
        <v>0</v>
      </c>
      <c r="J101" s="167">
        <f t="shared" si="8"/>
        <v>0</v>
      </c>
      <c r="K101" s="167">
        <f t="shared" si="8"/>
        <v>0</v>
      </c>
      <c r="L101" s="167">
        <f t="shared" si="8"/>
        <v>0</v>
      </c>
      <c r="M101" s="167">
        <f t="shared" si="8"/>
        <v>0</v>
      </c>
      <c r="N101" s="167">
        <f t="shared" si="8"/>
        <v>0</v>
      </c>
      <c r="O101" s="167">
        <f t="shared" si="8"/>
        <v>0</v>
      </c>
      <c r="P101" s="167">
        <f t="shared" si="8"/>
        <v>0</v>
      </c>
      <c r="Q101" s="167">
        <f t="shared" si="8"/>
        <v>0</v>
      </c>
      <c r="R101" s="167">
        <f t="shared" si="8"/>
        <v>0</v>
      </c>
      <c r="S101" s="167">
        <f t="shared" si="8"/>
        <v>0</v>
      </c>
      <c r="T101" s="167">
        <f t="shared" si="8"/>
        <v>0</v>
      </c>
      <c r="U101" s="167">
        <f t="shared" si="8"/>
        <v>0</v>
      </c>
      <c r="V101" s="167">
        <f t="shared" si="8"/>
        <v>0</v>
      </c>
      <c r="W101" s="167">
        <f t="shared" si="8"/>
        <v>0</v>
      </c>
      <c r="X101" s="167">
        <f t="shared" si="8"/>
        <v>0</v>
      </c>
      <c r="Y101" s="167">
        <f t="shared" si="8"/>
        <v>0</v>
      </c>
      <c r="Z101" s="167">
        <f t="shared" si="8"/>
        <v>0</v>
      </c>
      <c r="AA101" s="167">
        <f t="shared" si="8"/>
        <v>0</v>
      </c>
      <c r="AB101" s="167">
        <f t="shared" si="8"/>
        <v>0</v>
      </c>
      <c r="AC101" s="167">
        <f t="shared" si="8"/>
        <v>0</v>
      </c>
      <c r="AD101" s="167">
        <f t="shared" si="8"/>
        <v>0</v>
      </c>
      <c r="AE101" s="167">
        <f t="shared" si="8"/>
        <v>0</v>
      </c>
      <c r="AF101" s="167">
        <f t="shared" si="8"/>
        <v>0</v>
      </c>
      <c r="AG101" s="167">
        <f t="shared" si="8"/>
        <v>0</v>
      </c>
    </row>
    <row r="102" spans="1:99" ht="14.5" outlineLevel="1" thickBot="1">
      <c r="B102" s="148"/>
      <c r="C102" s="186" t="s">
        <v>313</v>
      </c>
      <c r="D102" s="148" t="s">
        <v>183</v>
      </c>
      <c r="E102" s="157">
        <f>E73</f>
        <v>100.45</v>
      </c>
      <c r="F102" s="134" t="s">
        <v>57</v>
      </c>
      <c r="G102" s="158"/>
      <c r="H102" s="159"/>
      <c r="I102" s="159"/>
      <c r="J102" s="159"/>
      <c r="K102" s="159"/>
      <c r="L102" s="159"/>
      <c r="M102" s="159"/>
      <c r="N102" s="159"/>
      <c r="O102" s="159"/>
      <c r="P102" s="159"/>
      <c r="Q102" s="159"/>
      <c r="R102" s="159"/>
      <c r="S102" s="159"/>
      <c r="T102" s="159"/>
      <c r="U102" s="159"/>
      <c r="V102" s="159"/>
      <c r="W102" s="159"/>
      <c r="X102" s="159"/>
      <c r="Y102" s="159"/>
      <c r="Z102" s="159"/>
      <c r="AA102" s="159"/>
      <c r="AB102" s="159"/>
      <c r="AC102" s="159"/>
      <c r="AD102" s="159"/>
      <c r="AE102" s="159"/>
      <c r="AF102" s="159"/>
      <c r="AG102" s="159"/>
    </row>
    <row r="103" spans="1:99" ht="14.5" outlineLevel="1" thickBot="1">
      <c r="B103" s="148"/>
      <c r="C103" s="445"/>
      <c r="D103" s="148" t="s">
        <v>76</v>
      </c>
      <c r="E103" s="166">
        <f>'Reference Prices'!K42/Initial_ER</f>
        <v>6492.8571428571431</v>
      </c>
      <c r="F103" s="134" t="s">
        <v>270</v>
      </c>
      <c r="G103" s="158"/>
      <c r="H103" s="159"/>
      <c r="I103" s="159"/>
      <c r="J103" s="159"/>
      <c r="K103" s="159"/>
      <c r="L103" s="159"/>
      <c r="M103" s="159"/>
      <c r="N103" s="159"/>
      <c r="O103" s="159"/>
      <c r="P103" s="159"/>
      <c r="Q103" s="159"/>
      <c r="R103" s="159"/>
      <c r="S103" s="159"/>
      <c r="T103" s="159"/>
      <c r="U103" s="159"/>
      <c r="V103" s="159"/>
      <c r="W103" s="159"/>
      <c r="X103" s="159"/>
      <c r="Y103" s="159"/>
      <c r="Z103" s="159"/>
      <c r="AA103" s="159"/>
      <c r="AB103" s="159"/>
      <c r="AC103" s="159"/>
      <c r="AD103" s="159"/>
      <c r="AE103" s="159"/>
      <c r="AF103" s="159"/>
      <c r="AG103" s="159"/>
    </row>
    <row r="104" spans="1:99" ht="14.5" outlineLevel="1" thickBot="1">
      <c r="B104" s="148"/>
      <c r="C104" s="168"/>
      <c r="D104" s="148" t="s">
        <v>304</v>
      </c>
      <c r="E104" s="506">
        <v>26</v>
      </c>
      <c r="F104" s="134" t="s">
        <v>258</v>
      </c>
      <c r="G104" s="158"/>
      <c r="H104" s="159"/>
      <c r="I104" s="159"/>
      <c r="J104" s="159"/>
      <c r="K104" s="159"/>
      <c r="L104" s="159"/>
      <c r="M104" s="159"/>
      <c r="N104" s="159"/>
      <c r="O104" s="159"/>
      <c r="P104" s="159"/>
      <c r="Q104" s="159"/>
      <c r="R104" s="159"/>
      <c r="S104" s="159"/>
      <c r="T104" s="159"/>
      <c r="U104" s="159"/>
      <c r="V104" s="159"/>
      <c r="W104" s="159"/>
      <c r="X104" s="159"/>
      <c r="Y104" s="159"/>
      <c r="Z104" s="159"/>
      <c r="AA104" s="159"/>
      <c r="AB104" s="159"/>
      <c r="AC104" s="159"/>
      <c r="AD104" s="159"/>
      <c r="AE104" s="159"/>
      <c r="AF104" s="159"/>
      <c r="AG104" s="159"/>
    </row>
    <row r="105" spans="1:99" ht="14.5" outlineLevel="1" thickBot="1">
      <c r="B105" s="148"/>
      <c r="C105" s="92"/>
      <c r="D105" s="148" t="s">
        <v>305</v>
      </c>
      <c r="E105" s="506">
        <v>0.9</v>
      </c>
      <c r="F105" s="134" t="s">
        <v>261</v>
      </c>
      <c r="G105" s="162"/>
      <c r="H105" s="167">
        <f>SUM(E103)</f>
        <v>6492.8571428571431</v>
      </c>
      <c r="I105" s="167">
        <f t="shared" ref="I105:AG105" si="9">IF(I$1&lt;=$D$18,(IFERROR(IF(MOD(I$1,$E104)=0,$E105*$E103,0),0)),0)</f>
        <v>0</v>
      </c>
      <c r="J105" s="167">
        <f t="shared" si="9"/>
        <v>0</v>
      </c>
      <c r="K105" s="167">
        <f t="shared" si="9"/>
        <v>0</v>
      </c>
      <c r="L105" s="167">
        <f t="shared" si="9"/>
        <v>0</v>
      </c>
      <c r="M105" s="167">
        <f t="shared" si="9"/>
        <v>0</v>
      </c>
      <c r="N105" s="167">
        <f t="shared" si="9"/>
        <v>0</v>
      </c>
      <c r="O105" s="167">
        <f t="shared" si="9"/>
        <v>0</v>
      </c>
      <c r="P105" s="167">
        <f t="shared" si="9"/>
        <v>0</v>
      </c>
      <c r="Q105" s="167">
        <f t="shared" si="9"/>
        <v>0</v>
      </c>
      <c r="R105" s="167">
        <f t="shared" si="9"/>
        <v>0</v>
      </c>
      <c r="S105" s="167">
        <f t="shared" si="9"/>
        <v>0</v>
      </c>
      <c r="T105" s="167">
        <f t="shared" si="9"/>
        <v>0</v>
      </c>
      <c r="U105" s="167">
        <f t="shared" si="9"/>
        <v>0</v>
      </c>
      <c r="V105" s="167">
        <f t="shared" si="9"/>
        <v>0</v>
      </c>
      <c r="W105" s="167">
        <f t="shared" si="9"/>
        <v>0</v>
      </c>
      <c r="X105" s="167">
        <f t="shared" si="9"/>
        <v>0</v>
      </c>
      <c r="Y105" s="167">
        <f t="shared" si="9"/>
        <v>0</v>
      </c>
      <c r="Z105" s="167">
        <f t="shared" si="9"/>
        <v>0</v>
      </c>
      <c r="AA105" s="167">
        <f t="shared" si="9"/>
        <v>0</v>
      </c>
      <c r="AB105" s="167">
        <f t="shared" si="9"/>
        <v>0</v>
      </c>
      <c r="AC105" s="167">
        <f t="shared" si="9"/>
        <v>0</v>
      </c>
      <c r="AD105" s="167">
        <f t="shared" si="9"/>
        <v>0</v>
      </c>
      <c r="AE105" s="167">
        <f t="shared" si="9"/>
        <v>0</v>
      </c>
      <c r="AF105" s="167">
        <f t="shared" si="9"/>
        <v>0</v>
      </c>
      <c r="AG105" s="167">
        <f t="shared" si="9"/>
        <v>0</v>
      </c>
    </row>
    <row r="106" spans="1:99" ht="14.5" outlineLevel="1" thickBot="1">
      <c r="B106" s="148"/>
      <c r="C106" s="517"/>
      <c r="D106" s="169"/>
      <c r="E106" s="170"/>
      <c r="F106" s="171"/>
      <c r="G106" s="158"/>
      <c r="H106" s="163"/>
      <c r="I106" s="164"/>
      <c r="J106" s="164"/>
      <c r="K106" s="164"/>
      <c r="L106" s="164"/>
      <c r="M106" s="164"/>
      <c r="N106" s="164"/>
      <c r="O106" s="164"/>
      <c r="P106" s="164"/>
      <c r="Q106" s="164"/>
      <c r="R106" s="164"/>
      <c r="S106" s="164"/>
      <c r="T106" s="164"/>
      <c r="U106" s="164"/>
      <c r="V106" s="164"/>
      <c r="W106" s="164"/>
      <c r="X106" s="164"/>
      <c r="Y106" s="164"/>
      <c r="Z106" s="164"/>
      <c r="AA106" s="164"/>
      <c r="AB106" s="164"/>
      <c r="AC106" s="164"/>
      <c r="AD106" s="164"/>
      <c r="AE106" s="164"/>
      <c r="AF106" s="164"/>
      <c r="AG106" s="164"/>
    </row>
    <row r="107" spans="1:99" ht="14.5" outlineLevel="1" thickBot="1">
      <c r="B107" s="148"/>
      <c r="C107" s="186" t="s">
        <v>568</v>
      </c>
      <c r="D107" s="148" t="s">
        <v>314</v>
      </c>
      <c r="E107" s="166">
        <f>('Reference Prices'!K55+'Reference Prices'!K49+'Reference Prices'!K50+'Reference Prices'!K52+'Reference Prices'!K53+'Reference Prices'!K54)/Initial_ER</f>
        <v>5990.4142857142861</v>
      </c>
      <c r="F107" s="134" t="s">
        <v>270</v>
      </c>
      <c r="G107" s="158"/>
      <c r="H107" s="172">
        <f>SUM(E107)</f>
        <v>5990.4142857142861</v>
      </c>
      <c r="I107" s="167">
        <f>IF(I$1&lt;=$D$18,(IFERROR(IF(MOD(I$1,#REF!)=0,#REF!*$E107,0),0)),0)</f>
        <v>0</v>
      </c>
      <c r="J107" s="167">
        <f>IF(J$1&lt;=$D$18,(IFERROR(IF(MOD(J$1,#REF!)=0,#REF!*$E107,0),0)),0)</f>
        <v>0</v>
      </c>
      <c r="K107" s="167">
        <f>IF(K$1&lt;=$D$18,(IFERROR(IF(MOD(K$1,#REF!)=0,#REF!*$E107,0),0)),0)</f>
        <v>0</v>
      </c>
      <c r="L107" s="167">
        <f>IF(L$1&lt;=$D$18,(IFERROR(IF(MOD(L$1,#REF!)=0,#REF!*$E107,0),0)),0)</f>
        <v>0</v>
      </c>
      <c r="M107" s="167">
        <f>IF(M$1&lt;=$D$18,(IFERROR(IF(MOD(M$1,#REF!)=0,#REF!*$E107,0),0)),0)</f>
        <v>0</v>
      </c>
      <c r="N107" s="167">
        <f>IF(N$1&lt;=$D$18,(IFERROR(IF(MOD(N$1,#REF!)=0,#REF!*$E107,0),0)),0)</f>
        <v>0</v>
      </c>
      <c r="O107" s="167">
        <f>IF(O$1&lt;=$D$18,(IFERROR(IF(MOD(O$1,#REF!)=0,#REF!*$E107,0),0)),0)</f>
        <v>0</v>
      </c>
      <c r="P107" s="167">
        <f>IF(P$1&lt;=$D$18,(IFERROR(IF(MOD(P$1,#REF!)=0,#REF!*$E107,0),0)),0)</f>
        <v>0</v>
      </c>
      <c r="Q107" s="167">
        <f>IF(Q$1&lt;=$D$18,(IFERROR(IF(MOD(Q$1,#REF!)=0,#REF!*$E107,0),0)),0)</f>
        <v>0</v>
      </c>
      <c r="R107" s="167">
        <f>IF(R$1&lt;=$D$18,(IFERROR(IF(MOD(R$1,#REF!)=0,#REF!*$E107,0),0)),0)</f>
        <v>0</v>
      </c>
      <c r="S107" s="167">
        <f>IF(S$1&lt;=$D$18,(IFERROR(IF(MOD(S$1,#REF!)=0,#REF!*$E107,0),0)),0)</f>
        <v>0</v>
      </c>
      <c r="T107" s="167">
        <f>IF(T$1&lt;=$D$18,(IFERROR(IF(MOD(T$1,#REF!)=0,#REF!*$E107,0),0)),0)</f>
        <v>0</v>
      </c>
      <c r="U107" s="167">
        <f>IF(U$1&lt;=$D$18,(IFERROR(IF(MOD(U$1,#REF!)=0,#REF!*$E107,0),0)),0)</f>
        <v>0</v>
      </c>
      <c r="V107" s="167">
        <f>IF(V$1&lt;=$D$18,(IFERROR(IF(MOD(V$1,#REF!)=0,#REF!*$E107,0),0)),0)</f>
        <v>0</v>
      </c>
      <c r="W107" s="167">
        <f>IF(W$1&lt;=$D$18,(IFERROR(IF(MOD(W$1,#REF!)=0,#REF!*$E107,0),0)),0)</f>
        <v>0</v>
      </c>
      <c r="X107" s="167">
        <f>IF(X$1&lt;=$D$18,(IFERROR(IF(MOD(X$1,#REF!)=0,#REF!*$E107,0),0)),0)</f>
        <v>0</v>
      </c>
      <c r="Y107" s="167">
        <f>IF(Y$1&lt;=$D$18,(IFERROR(IF(MOD(Y$1,#REF!)=0,#REF!*$E107,0),0)),0)</f>
        <v>0</v>
      </c>
      <c r="Z107" s="167">
        <f>IF(Z$1&lt;=$D$18,(IFERROR(IF(MOD(Z$1,#REF!)=0,#REF!*$E107,0),0)),0)</f>
        <v>0</v>
      </c>
      <c r="AA107" s="167">
        <f>IF(AA$1&lt;=$D$18,(IFERROR(IF(MOD(AA$1,#REF!)=0,#REF!*$E107,0),0)),0)</f>
        <v>0</v>
      </c>
      <c r="AB107" s="167">
        <f>IF(AB$1&lt;=$D$18,(IFERROR(IF(MOD(AB$1,#REF!)=0,#REF!*$E107,0),0)),0)</f>
        <v>0</v>
      </c>
      <c r="AC107" s="167">
        <f>IF(AC$1&lt;=$D$18,(IFERROR(IF(MOD(AC$1,#REF!)=0,#REF!*$E107,0),0)),0)</f>
        <v>0</v>
      </c>
      <c r="AD107" s="167">
        <f>IF(AD$1&lt;=$D$18,(IFERROR(IF(MOD(AD$1,#REF!)=0,#REF!*$E107,0),0)),0)</f>
        <v>0</v>
      </c>
      <c r="AE107" s="167">
        <f>IF(AE$1&lt;=$D$18,(IFERROR(IF(MOD(AE$1,#REF!)=0,#REF!*$E107,0),0)),0)</f>
        <v>0</v>
      </c>
      <c r="AF107" s="167">
        <f>IF(AF$1&lt;=$D$18,(IFERROR(IF(MOD(AF$1,#REF!)=0,#REF!*$E107,0),0)),0)</f>
        <v>0</v>
      </c>
      <c r="AG107" s="167">
        <f>IF(AG$1&lt;=$D$18,(IFERROR(IF(MOD(AG$1,#REF!)=0,#REF!*$E107,0),0)),0)</f>
        <v>0</v>
      </c>
      <c r="AH107" s="128"/>
      <c r="AI107" s="128"/>
      <c r="AJ107" s="128"/>
      <c r="AK107" s="128"/>
      <c r="AL107" s="128"/>
      <c r="AM107" s="128"/>
      <c r="AN107" s="128"/>
      <c r="AO107" s="128"/>
      <c r="AP107" s="128"/>
      <c r="AQ107" s="128"/>
      <c r="AR107" s="128"/>
      <c r="AS107" s="128"/>
      <c r="AT107" s="128"/>
      <c r="AU107" s="128"/>
      <c r="AV107" s="128"/>
      <c r="AW107" s="128"/>
      <c r="AX107" s="128"/>
      <c r="AY107" s="128"/>
      <c r="AZ107" s="128"/>
      <c r="BA107" s="128"/>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8"/>
      <c r="BZ107" s="128"/>
      <c r="CA107" s="128"/>
      <c r="CB107" s="128"/>
      <c r="CC107" s="128"/>
      <c r="CD107" s="128"/>
      <c r="CE107" s="128"/>
      <c r="CF107" s="128"/>
      <c r="CG107" s="128"/>
      <c r="CH107" s="128"/>
      <c r="CI107" s="128"/>
      <c r="CJ107" s="128"/>
      <c r="CK107" s="128"/>
      <c r="CL107" s="128"/>
      <c r="CM107" s="128"/>
      <c r="CN107" s="128"/>
      <c r="CO107" s="128"/>
      <c r="CP107" s="128"/>
      <c r="CQ107" s="128"/>
      <c r="CR107" s="128"/>
      <c r="CS107" s="128"/>
      <c r="CT107" s="128"/>
      <c r="CU107" s="128"/>
    </row>
    <row r="108" spans="1:99" ht="15" customHeight="1" outlineLevel="1" thickBot="1">
      <c r="B108" s="173"/>
      <c r="C108" s="173" t="s">
        <v>315</v>
      </c>
      <c r="D108" s="174"/>
      <c r="E108" s="174"/>
      <c r="F108" s="174"/>
      <c r="G108" s="176"/>
      <c r="H108" s="177">
        <f t="shared" ref="H108:AG108" si="10">SUM(H73:H107)</f>
        <v>54590.414285714287</v>
      </c>
      <c r="I108" s="177">
        <f t="shared" si="10"/>
        <v>0</v>
      </c>
      <c r="J108" s="177">
        <f t="shared" si="10"/>
        <v>0</v>
      </c>
      <c r="K108" s="177">
        <f t="shared" si="10"/>
        <v>0</v>
      </c>
      <c r="L108" s="177">
        <f t="shared" si="10"/>
        <v>0</v>
      </c>
      <c r="M108" s="177">
        <f t="shared" si="10"/>
        <v>0</v>
      </c>
      <c r="N108" s="177">
        <f t="shared" si="10"/>
        <v>0</v>
      </c>
      <c r="O108" s="177">
        <f t="shared" si="10"/>
        <v>0</v>
      </c>
      <c r="P108" s="177">
        <f t="shared" si="10"/>
        <v>0</v>
      </c>
      <c r="Q108" s="177">
        <f t="shared" si="10"/>
        <v>0</v>
      </c>
      <c r="R108" s="177">
        <f t="shared" si="10"/>
        <v>0</v>
      </c>
      <c r="S108" s="177">
        <f t="shared" si="10"/>
        <v>0</v>
      </c>
      <c r="T108" s="177">
        <f t="shared" si="10"/>
        <v>0</v>
      </c>
      <c r="U108" s="177">
        <f t="shared" si="10"/>
        <v>0</v>
      </c>
      <c r="V108" s="177">
        <f t="shared" si="10"/>
        <v>0</v>
      </c>
      <c r="W108" s="177">
        <f t="shared" si="10"/>
        <v>6105.0792191634855</v>
      </c>
      <c r="X108" s="177">
        <f t="shared" si="10"/>
        <v>0</v>
      </c>
      <c r="Y108" s="177">
        <f t="shared" si="10"/>
        <v>0</v>
      </c>
      <c r="Z108" s="177">
        <f t="shared" si="10"/>
        <v>0</v>
      </c>
      <c r="AA108" s="177">
        <f t="shared" si="10"/>
        <v>0</v>
      </c>
      <c r="AB108" s="177">
        <f t="shared" si="10"/>
        <v>0</v>
      </c>
      <c r="AC108" s="177">
        <f t="shared" si="10"/>
        <v>0</v>
      </c>
      <c r="AD108" s="177">
        <f t="shared" si="10"/>
        <v>0</v>
      </c>
      <c r="AE108" s="177">
        <f t="shared" si="10"/>
        <v>0</v>
      </c>
      <c r="AF108" s="177">
        <f t="shared" si="10"/>
        <v>0</v>
      </c>
      <c r="AG108" s="177">
        <f t="shared" si="10"/>
        <v>0</v>
      </c>
      <c r="AH108" s="128"/>
      <c r="AI108" s="128"/>
      <c r="AJ108" s="128"/>
      <c r="AK108" s="128"/>
      <c r="AL108" s="128"/>
      <c r="AM108" s="128"/>
      <c r="AN108" s="128"/>
      <c r="AO108" s="128"/>
      <c r="AP108" s="128"/>
      <c r="AQ108" s="128"/>
      <c r="AR108" s="128"/>
      <c r="AS108" s="128"/>
      <c r="AT108" s="128"/>
      <c r="AU108" s="128"/>
      <c r="AV108" s="128"/>
      <c r="AW108" s="128"/>
      <c r="AX108" s="128"/>
      <c r="AY108" s="128"/>
      <c r="AZ108" s="128"/>
      <c r="BA108" s="128"/>
      <c r="BB108" s="128"/>
      <c r="BC108" s="128"/>
      <c r="BD108" s="128"/>
      <c r="BE108" s="128"/>
      <c r="BF108" s="128"/>
      <c r="BG108" s="128"/>
      <c r="BH108" s="128"/>
      <c r="BI108" s="128"/>
      <c r="BJ108" s="128"/>
      <c r="BK108" s="128"/>
      <c r="BL108" s="128"/>
      <c r="BM108" s="128"/>
      <c r="BN108" s="128"/>
      <c r="BO108" s="128"/>
      <c r="BP108" s="128"/>
      <c r="BQ108" s="128"/>
      <c r="BR108" s="128"/>
      <c r="BS108" s="128"/>
      <c r="BT108" s="128"/>
      <c r="BU108" s="128"/>
      <c r="BV108" s="128"/>
      <c r="BW108" s="128"/>
      <c r="BX108" s="128"/>
      <c r="BY108" s="128"/>
      <c r="BZ108" s="128"/>
      <c r="CA108" s="128"/>
      <c r="CB108" s="128"/>
      <c r="CC108" s="128"/>
      <c r="CD108" s="128"/>
      <c r="CE108" s="128"/>
      <c r="CF108" s="128"/>
      <c r="CG108" s="128"/>
      <c r="CH108" s="128"/>
      <c r="CI108" s="128"/>
      <c r="CJ108" s="128"/>
      <c r="CK108" s="128"/>
      <c r="CL108" s="128"/>
      <c r="CM108" s="128"/>
      <c r="CN108" s="128"/>
      <c r="CO108" s="128"/>
      <c r="CP108" s="128"/>
      <c r="CQ108" s="128"/>
      <c r="CR108" s="128"/>
      <c r="CS108" s="128"/>
      <c r="CT108" s="128"/>
      <c r="CU108" s="128"/>
    </row>
    <row r="109" spans="1:99" ht="15" customHeight="1" outlineLevel="1" thickBot="1">
      <c r="E109" s="128"/>
      <c r="G109" s="128"/>
    </row>
    <row r="110" spans="1:99" ht="14.5" outlineLevel="1" thickBot="1">
      <c r="A110" s="128"/>
      <c r="B110" s="132"/>
      <c r="C110" s="132" t="s">
        <v>316</v>
      </c>
      <c r="D110" s="133"/>
      <c r="E110" s="133"/>
      <c r="F110" s="133"/>
      <c r="G110" s="128"/>
      <c r="H110" s="133"/>
      <c r="I110" s="178"/>
      <c r="J110" s="178"/>
      <c r="K110" s="133">
        <f>$K$1</f>
        <v>3</v>
      </c>
      <c r="L110" s="133">
        <f>$L$1</f>
        <v>4</v>
      </c>
      <c r="M110" s="133">
        <f>$M$1</f>
        <v>5</v>
      </c>
      <c r="N110" s="133">
        <f>$N$1</f>
        <v>6</v>
      </c>
      <c r="O110" s="133">
        <f>$O$1</f>
        <v>7</v>
      </c>
      <c r="P110" s="133">
        <f>$P$1</f>
        <v>8</v>
      </c>
      <c r="Q110" s="133">
        <f>$Q$1</f>
        <v>9</v>
      </c>
      <c r="R110" s="133">
        <f>$R$1</f>
        <v>10</v>
      </c>
      <c r="S110" s="133">
        <f>$S$1</f>
        <v>11</v>
      </c>
      <c r="T110" s="133">
        <f>$T$1</f>
        <v>12</v>
      </c>
      <c r="U110" s="133">
        <f>$U$1</f>
        <v>13</v>
      </c>
      <c r="V110" s="133">
        <f>$V$1</f>
        <v>14</v>
      </c>
      <c r="W110" s="133">
        <f>$W$1</f>
        <v>15</v>
      </c>
      <c r="X110" s="133">
        <f>$X$1</f>
        <v>16</v>
      </c>
      <c r="Y110" s="133">
        <f>$Y$1</f>
        <v>17</v>
      </c>
      <c r="Z110" s="133">
        <f>$Z$1</f>
        <v>18</v>
      </c>
      <c r="AA110" s="133">
        <f>$AA$1</f>
        <v>19</v>
      </c>
      <c r="AB110" s="133">
        <f>$AB$1</f>
        <v>20</v>
      </c>
      <c r="AC110" s="133">
        <f>$AC$1</f>
        <v>21</v>
      </c>
      <c r="AD110" s="133">
        <f>$AD$1</f>
        <v>22</v>
      </c>
      <c r="AE110" s="133">
        <f>$AE$1</f>
        <v>23</v>
      </c>
      <c r="AF110" s="133">
        <f>$AF$1</f>
        <v>24</v>
      </c>
      <c r="AG110" s="147">
        <f>$AG$1</f>
        <v>25</v>
      </c>
      <c r="AH110" s="128"/>
      <c r="AI110" s="128"/>
      <c r="AJ110" s="128"/>
      <c r="AK110" s="128"/>
      <c r="AL110" s="128"/>
      <c r="AM110" s="128"/>
      <c r="AN110" s="128"/>
      <c r="AO110" s="128"/>
      <c r="AP110" s="128"/>
      <c r="AQ110" s="128"/>
      <c r="AR110" s="128"/>
      <c r="AS110" s="128"/>
      <c r="AT110" s="128"/>
      <c r="AU110" s="128"/>
      <c r="AV110" s="128"/>
      <c r="AW110" s="128"/>
      <c r="AX110" s="128"/>
      <c r="AY110" s="128"/>
      <c r="AZ110" s="128"/>
      <c r="BA110" s="128"/>
      <c r="BB110" s="128"/>
      <c r="BC110" s="128"/>
      <c r="BD110" s="128"/>
      <c r="BE110" s="128"/>
      <c r="BF110" s="128"/>
      <c r="BG110" s="128"/>
      <c r="BH110" s="128"/>
      <c r="BI110" s="128"/>
      <c r="BJ110" s="128"/>
      <c r="BK110" s="128"/>
      <c r="BL110" s="128"/>
      <c r="BM110" s="128"/>
      <c r="BN110" s="128"/>
      <c r="BO110" s="128"/>
      <c r="BP110" s="128"/>
      <c r="BQ110" s="128"/>
      <c r="BR110" s="128"/>
      <c r="BS110" s="128"/>
      <c r="BT110" s="128"/>
      <c r="BU110" s="128"/>
      <c r="BV110" s="128"/>
      <c r="BW110" s="128"/>
      <c r="BX110" s="128"/>
      <c r="BY110" s="128"/>
      <c r="BZ110" s="128"/>
      <c r="CA110" s="128"/>
      <c r="CB110" s="128"/>
      <c r="CC110" s="128"/>
      <c r="CD110" s="128"/>
      <c r="CE110" s="128"/>
      <c r="CF110" s="128"/>
      <c r="CG110" s="128"/>
      <c r="CH110" s="128"/>
      <c r="CI110" s="128"/>
      <c r="CJ110" s="128"/>
      <c r="CK110" s="128"/>
      <c r="CL110" s="128"/>
      <c r="CM110" s="128"/>
      <c r="CN110" s="128"/>
      <c r="CO110" s="128"/>
      <c r="CP110" s="128"/>
      <c r="CQ110" s="128"/>
      <c r="CR110" s="128"/>
      <c r="CS110" s="128"/>
      <c r="CT110" s="128"/>
      <c r="CU110" s="128"/>
    </row>
    <row r="111" spans="1:99" s="160" customFormat="1" ht="13" outlineLevel="1" thickBot="1">
      <c r="B111" s="148"/>
      <c r="C111" s="186" t="s">
        <v>569</v>
      </c>
      <c r="D111" s="148" t="s">
        <v>317</v>
      </c>
      <c r="E111" s="506">
        <v>0</v>
      </c>
      <c r="F111" s="148" t="s">
        <v>216</v>
      </c>
      <c r="G111" s="179"/>
    </row>
    <row r="112" spans="1:99" ht="14.5" outlineLevel="1" thickBot="1">
      <c r="C112" s="161"/>
      <c r="D112" s="148" t="s">
        <v>76</v>
      </c>
      <c r="E112" s="506">
        <v>0</v>
      </c>
      <c r="F112" s="148" t="s">
        <v>270</v>
      </c>
      <c r="G112" s="128"/>
      <c r="H112" s="172">
        <f>E112*$D$146</f>
        <v>0</v>
      </c>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row>
    <row r="113" spans="1:99" ht="14.5" outlineLevel="1" thickBot="1">
      <c r="B113" s="148"/>
      <c r="C113" s="186" t="s">
        <v>570</v>
      </c>
      <c r="D113" s="148" t="s">
        <v>318</v>
      </c>
      <c r="E113" s="180">
        <f>'Reference Prices'!G46+'Reference Prices'!G47+'Reference Prices'!G48</f>
        <v>399</v>
      </c>
      <c r="F113" s="148" t="s">
        <v>611</v>
      </c>
      <c r="G113" s="181"/>
      <c r="H113" s="159"/>
      <c r="I113" s="159"/>
      <c r="J113" s="159"/>
      <c r="K113" s="159"/>
      <c r="L113" s="159"/>
      <c r="M113" s="159"/>
      <c r="N113" s="159"/>
      <c r="O113" s="159"/>
      <c r="P113" s="159"/>
      <c r="Q113" s="159"/>
      <c r="R113" s="159"/>
      <c r="S113" s="159"/>
      <c r="T113" s="159"/>
      <c r="U113" s="159"/>
      <c r="V113" s="159"/>
      <c r="W113" s="159"/>
      <c r="X113" s="159"/>
      <c r="Y113" s="159"/>
      <c r="Z113" s="159"/>
      <c r="AA113" s="159"/>
      <c r="AB113" s="159"/>
      <c r="AC113" s="159"/>
      <c r="AD113" s="159"/>
      <c r="AE113" s="159"/>
      <c r="AF113" s="159"/>
      <c r="AG113" s="159"/>
    </row>
    <row r="114" spans="1:99" ht="14.5" outlineLevel="1" thickBot="1">
      <c r="C114" s="161"/>
      <c r="D114" s="148" t="s">
        <v>76</v>
      </c>
      <c r="E114" s="180">
        <f>('Reference Prices'!K46+'Reference Prices'!K47+'Reference Prices'!K48)/Initial_ER</f>
        <v>383.17857142857144</v>
      </c>
      <c r="F114" s="148" t="s">
        <v>270</v>
      </c>
      <c r="G114" s="128"/>
      <c r="H114" s="172">
        <f>E114*$D$146</f>
        <v>383.17857142857144</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row>
    <row r="115" spans="1:99" ht="14.5" outlineLevel="1" thickBot="1">
      <c r="B115" s="148"/>
      <c r="C115" s="186" t="s">
        <v>571</v>
      </c>
      <c r="D115" s="148" t="s">
        <v>319</v>
      </c>
      <c r="E115" s="506">
        <v>0</v>
      </c>
      <c r="F115" s="148" t="s">
        <v>216</v>
      </c>
      <c r="G115" s="181"/>
      <c r="H115" s="182"/>
      <c r="I115" s="182"/>
      <c r="J115" s="182"/>
      <c r="K115" s="182"/>
      <c r="L115" s="182"/>
      <c r="M115" s="182"/>
      <c r="N115" s="182"/>
      <c r="O115" s="182"/>
      <c r="P115" s="182"/>
      <c r="Q115" s="182"/>
      <c r="R115" s="182"/>
      <c r="S115" s="182"/>
      <c r="T115" s="182"/>
      <c r="U115" s="182"/>
      <c r="V115" s="182"/>
      <c r="W115" s="182"/>
      <c r="X115" s="182"/>
      <c r="Y115" s="182"/>
      <c r="Z115" s="182"/>
      <c r="AA115" s="182"/>
      <c r="AB115" s="182"/>
      <c r="AC115" s="182"/>
      <c r="AD115" s="182"/>
      <c r="AE115" s="182"/>
      <c r="AF115" s="182"/>
      <c r="AG115" s="182"/>
    </row>
    <row r="116" spans="1:99" ht="14.5" outlineLevel="1" thickBot="1">
      <c r="C116" s="183"/>
      <c r="D116" s="148" t="s">
        <v>76</v>
      </c>
      <c r="E116" s="506">
        <v>0</v>
      </c>
      <c r="F116" s="148" t="s">
        <v>270</v>
      </c>
      <c r="G116" s="128"/>
      <c r="H116" s="172">
        <f>E116*$D$146</f>
        <v>0</v>
      </c>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row>
    <row r="117" spans="1:99" ht="14.5" outlineLevel="1" thickBot="1">
      <c r="B117" s="148"/>
      <c r="C117" s="186" t="s">
        <v>572</v>
      </c>
      <c r="D117" s="148" t="s">
        <v>76</v>
      </c>
      <c r="E117" s="506">
        <v>0</v>
      </c>
      <c r="F117" s="148" t="s">
        <v>270</v>
      </c>
      <c r="G117" s="128"/>
      <c r="H117" s="172">
        <f>E117*$D$146</f>
        <v>0</v>
      </c>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row>
    <row r="118" spans="1:99" ht="16.5" customHeight="1" outlineLevel="1" thickBot="1">
      <c r="B118" s="148"/>
      <c r="C118" s="186" t="s">
        <v>663</v>
      </c>
      <c r="D118" s="148" t="s">
        <v>76</v>
      </c>
      <c r="E118" s="506">
        <f>0</f>
        <v>0</v>
      </c>
      <c r="F118" s="148" t="s">
        <v>270</v>
      </c>
      <c r="G118" s="128"/>
      <c r="H118" s="172">
        <f>E118*$D$146</f>
        <v>0</v>
      </c>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row>
    <row r="119" spans="1:99" ht="14.5" outlineLevel="1" thickBot="1">
      <c r="B119" s="148"/>
      <c r="C119" s="186" t="s">
        <v>663</v>
      </c>
      <c r="D119" s="148" t="s">
        <v>76</v>
      </c>
      <c r="E119" s="506">
        <v>0</v>
      </c>
      <c r="F119" s="148" t="s">
        <v>270</v>
      </c>
      <c r="G119" s="128"/>
      <c r="H119" s="172">
        <f>E119*$D$146</f>
        <v>0</v>
      </c>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row>
    <row r="120" spans="1:99" ht="14.5" outlineLevel="1" thickBot="1">
      <c r="B120" s="173"/>
      <c r="C120" s="173" t="s">
        <v>320</v>
      </c>
      <c r="D120" s="174"/>
      <c r="E120" s="174"/>
      <c r="F120" s="173"/>
      <c r="G120" s="184"/>
      <c r="H120" s="177">
        <f>SUM(H112:H119)</f>
        <v>383.17857142857144</v>
      </c>
      <c r="I120" s="177">
        <f t="shared" ref="I120:AG120" si="11">SUM(I111:I119)</f>
        <v>0</v>
      </c>
      <c r="J120" s="177">
        <f t="shared" si="11"/>
        <v>0</v>
      </c>
      <c r="K120" s="177">
        <f t="shared" si="11"/>
        <v>0</v>
      </c>
      <c r="L120" s="177">
        <f t="shared" si="11"/>
        <v>0</v>
      </c>
      <c r="M120" s="177">
        <f t="shared" si="11"/>
        <v>0</v>
      </c>
      <c r="N120" s="177">
        <f t="shared" si="11"/>
        <v>0</v>
      </c>
      <c r="O120" s="177">
        <f t="shared" si="11"/>
        <v>0</v>
      </c>
      <c r="P120" s="177">
        <f t="shared" si="11"/>
        <v>0</v>
      </c>
      <c r="Q120" s="177">
        <f t="shared" si="11"/>
        <v>0</v>
      </c>
      <c r="R120" s="177">
        <f t="shared" si="11"/>
        <v>0</v>
      </c>
      <c r="S120" s="177">
        <f t="shared" si="11"/>
        <v>0</v>
      </c>
      <c r="T120" s="177">
        <f t="shared" si="11"/>
        <v>0</v>
      </c>
      <c r="U120" s="177">
        <f t="shared" si="11"/>
        <v>0</v>
      </c>
      <c r="V120" s="177">
        <f t="shared" si="11"/>
        <v>0</v>
      </c>
      <c r="W120" s="177">
        <f t="shared" si="11"/>
        <v>0</v>
      </c>
      <c r="X120" s="177">
        <f t="shared" si="11"/>
        <v>0</v>
      </c>
      <c r="Y120" s="177">
        <f t="shared" si="11"/>
        <v>0</v>
      </c>
      <c r="Z120" s="177">
        <f t="shared" si="11"/>
        <v>0</v>
      </c>
      <c r="AA120" s="177">
        <f t="shared" si="11"/>
        <v>0</v>
      </c>
      <c r="AB120" s="177">
        <f t="shared" si="11"/>
        <v>0</v>
      </c>
      <c r="AC120" s="177">
        <f t="shared" si="11"/>
        <v>0</v>
      </c>
      <c r="AD120" s="177">
        <f t="shared" si="11"/>
        <v>0</v>
      </c>
      <c r="AE120" s="177">
        <f t="shared" si="11"/>
        <v>0</v>
      </c>
      <c r="AF120" s="177">
        <f t="shared" si="11"/>
        <v>0</v>
      </c>
      <c r="AG120" s="177">
        <f t="shared" si="11"/>
        <v>0</v>
      </c>
    </row>
    <row r="121" spans="1:99" ht="15" customHeight="1" outlineLevel="1" thickBot="1">
      <c r="D121" s="185"/>
      <c r="E121" s="128"/>
      <c r="G121" s="128"/>
      <c r="H121" s="158"/>
      <c r="I121" s="158"/>
      <c r="J121" s="158"/>
      <c r="K121" s="158"/>
      <c r="L121" s="158"/>
      <c r="M121" s="158"/>
      <c r="N121" s="158"/>
      <c r="O121" s="158"/>
      <c r="P121" s="158"/>
      <c r="Q121" s="158"/>
      <c r="R121" s="158"/>
      <c r="S121" s="158"/>
      <c r="T121" s="158"/>
      <c r="U121" s="158"/>
      <c r="V121" s="158"/>
      <c r="W121" s="158"/>
      <c r="X121" s="158"/>
      <c r="Y121" s="158"/>
      <c r="Z121" s="158"/>
      <c r="AA121" s="158"/>
      <c r="AB121" s="158"/>
      <c r="AC121" s="158"/>
      <c r="AD121" s="158"/>
      <c r="AE121" s="158"/>
      <c r="AF121" s="158"/>
      <c r="AG121" s="158"/>
    </row>
    <row r="122" spans="1:99" ht="14.5" outlineLevel="1" thickBot="1">
      <c r="B122" s="132"/>
      <c r="C122" s="132" t="s">
        <v>93</v>
      </c>
      <c r="D122" s="132"/>
      <c r="E122" s="132"/>
      <c r="F122" s="132"/>
      <c r="G122" s="128"/>
      <c r="H122" s="133"/>
      <c r="I122" s="178"/>
      <c r="J122" s="178"/>
      <c r="K122" s="133">
        <f>$K$1</f>
        <v>3</v>
      </c>
      <c r="L122" s="133">
        <f>$L$1</f>
        <v>4</v>
      </c>
      <c r="M122" s="133">
        <f>$M$1</f>
        <v>5</v>
      </c>
      <c r="N122" s="133">
        <f>$N$1</f>
        <v>6</v>
      </c>
      <c r="O122" s="133">
        <f>$O$1</f>
        <v>7</v>
      </c>
      <c r="P122" s="133">
        <f>$P$1</f>
        <v>8</v>
      </c>
      <c r="Q122" s="133">
        <f>$Q$1</f>
        <v>9</v>
      </c>
      <c r="R122" s="133">
        <f>$R$1</f>
        <v>10</v>
      </c>
      <c r="S122" s="133">
        <f>$S$1</f>
        <v>11</v>
      </c>
      <c r="T122" s="133">
        <f>$T$1</f>
        <v>12</v>
      </c>
      <c r="U122" s="133">
        <f>$U$1</f>
        <v>13</v>
      </c>
      <c r="V122" s="133">
        <f>$V$1</f>
        <v>14</v>
      </c>
      <c r="W122" s="133">
        <f>$W$1</f>
        <v>15</v>
      </c>
      <c r="X122" s="133">
        <f>$X$1</f>
        <v>16</v>
      </c>
      <c r="Y122" s="133">
        <f>$Y$1</f>
        <v>17</v>
      </c>
      <c r="Z122" s="133">
        <f>$Z$1</f>
        <v>18</v>
      </c>
      <c r="AA122" s="133">
        <f>$AA$1</f>
        <v>19</v>
      </c>
      <c r="AB122" s="133">
        <f>$AB$1</f>
        <v>20</v>
      </c>
      <c r="AC122" s="133">
        <f>$AC$1</f>
        <v>21</v>
      </c>
      <c r="AD122" s="133">
        <f>$AD$1</f>
        <v>22</v>
      </c>
      <c r="AE122" s="133">
        <f>$AE$1</f>
        <v>23</v>
      </c>
      <c r="AF122" s="133">
        <f>$AF$1</f>
        <v>24</v>
      </c>
      <c r="AG122" s="147">
        <f>$AG$1</f>
        <v>25</v>
      </c>
    </row>
    <row r="123" spans="1:99" ht="14.5" outlineLevel="1" thickBot="1">
      <c r="B123" s="186"/>
      <c r="C123" s="186" t="s">
        <v>321</v>
      </c>
      <c r="D123" s="187"/>
      <c r="E123" s="188">
        <f>'Reference Prices'!K45/Initial_ER</f>
        <v>0</v>
      </c>
      <c r="F123" s="148" t="s">
        <v>270</v>
      </c>
      <c r="G123" s="181"/>
      <c r="H123" s="151">
        <f>E123*$D$146</f>
        <v>0</v>
      </c>
      <c r="I123" s="189"/>
      <c r="J123" s="189"/>
      <c r="K123" s="189"/>
      <c r="L123" s="189"/>
      <c r="M123" s="189"/>
      <c r="N123" s="189"/>
      <c r="O123" s="189"/>
      <c r="P123" s="189"/>
      <c r="Q123" s="189"/>
      <c r="R123" s="189"/>
      <c r="S123" s="189"/>
      <c r="T123" s="189"/>
      <c r="U123" s="189"/>
      <c r="V123" s="189"/>
      <c r="W123" s="189"/>
      <c r="X123" s="189"/>
      <c r="Y123" s="189"/>
      <c r="Z123" s="189"/>
      <c r="AA123" s="189"/>
      <c r="AB123" s="189"/>
      <c r="AC123" s="189"/>
      <c r="AD123" s="189"/>
      <c r="AE123" s="189"/>
      <c r="AF123" s="189"/>
      <c r="AG123" s="189"/>
    </row>
    <row r="124" spans="1:99" ht="14.5" outlineLevel="1" thickBot="1">
      <c r="B124" s="186"/>
      <c r="C124" s="186" t="s">
        <v>322</v>
      </c>
      <c r="D124" s="187"/>
      <c r="E124" s="506">
        <v>0</v>
      </c>
      <c r="F124" s="148" t="s">
        <v>270</v>
      </c>
      <c r="G124" s="181"/>
      <c r="H124" s="151">
        <f>E124*$D$146</f>
        <v>0</v>
      </c>
      <c r="I124" s="189"/>
      <c r="J124" s="189"/>
      <c r="K124" s="189"/>
      <c r="L124" s="189"/>
      <c r="M124" s="189"/>
      <c r="N124" s="189"/>
      <c r="O124" s="189"/>
      <c r="P124" s="189"/>
      <c r="Q124" s="189"/>
      <c r="R124" s="189"/>
      <c r="S124" s="189"/>
      <c r="T124" s="189"/>
      <c r="U124" s="189"/>
      <c r="V124" s="189"/>
      <c r="W124" s="189"/>
      <c r="X124" s="189"/>
      <c r="Y124" s="189"/>
      <c r="Z124" s="189"/>
      <c r="AA124" s="189"/>
      <c r="AB124" s="189"/>
      <c r="AC124" s="189"/>
      <c r="AD124" s="189"/>
      <c r="AE124" s="189"/>
      <c r="AF124" s="189"/>
      <c r="AG124" s="189"/>
    </row>
    <row r="125" spans="1:99" ht="14.5" outlineLevel="1" thickBot="1">
      <c r="B125" s="186"/>
      <c r="C125" s="186" t="s">
        <v>323</v>
      </c>
      <c r="D125" s="187" t="s">
        <v>552</v>
      </c>
      <c r="E125" s="188">
        <f>('Reference Prices'!K44+'Reference Prices'!K51)/Initial_ER</f>
        <v>617.14285714285711</v>
      </c>
      <c r="F125" s="148" t="s">
        <v>270</v>
      </c>
      <c r="G125" s="190"/>
      <c r="H125" s="151">
        <f>E125*$D$146</f>
        <v>617.14285714285711</v>
      </c>
      <c r="I125" s="191"/>
      <c r="J125" s="191"/>
      <c r="K125" s="191"/>
      <c r="L125" s="191"/>
      <c r="M125" s="191"/>
      <c r="N125" s="191"/>
      <c r="O125" s="191"/>
      <c r="P125" s="191"/>
      <c r="Q125" s="191"/>
      <c r="R125" s="191"/>
      <c r="S125" s="191"/>
      <c r="T125" s="191"/>
      <c r="U125" s="191"/>
      <c r="V125" s="191"/>
      <c r="W125" s="191"/>
      <c r="X125" s="191"/>
      <c r="Y125" s="191"/>
      <c r="Z125" s="191"/>
      <c r="AA125" s="191"/>
      <c r="AB125" s="191"/>
      <c r="AC125" s="191"/>
      <c r="AD125" s="191"/>
      <c r="AE125" s="191"/>
      <c r="AF125" s="191"/>
      <c r="AG125" s="191"/>
    </row>
    <row r="126" spans="1:99" ht="14.5" outlineLevel="1" thickBot="1">
      <c r="B126" s="173"/>
      <c r="C126" s="173" t="s">
        <v>324</v>
      </c>
      <c r="D126" s="174"/>
      <c r="E126" s="174"/>
      <c r="F126" s="174"/>
      <c r="G126" s="176"/>
      <c r="H126" s="156">
        <f t="shared" ref="H126:AG126" si="12">SUM(H123:H125)</f>
        <v>617.14285714285711</v>
      </c>
      <c r="I126" s="156">
        <f t="shared" si="12"/>
        <v>0</v>
      </c>
      <c r="J126" s="156">
        <f t="shared" si="12"/>
        <v>0</v>
      </c>
      <c r="K126" s="156">
        <f t="shared" si="12"/>
        <v>0</v>
      </c>
      <c r="L126" s="156">
        <f t="shared" si="12"/>
        <v>0</v>
      </c>
      <c r="M126" s="156">
        <f t="shared" si="12"/>
        <v>0</v>
      </c>
      <c r="N126" s="156">
        <f t="shared" si="12"/>
        <v>0</v>
      </c>
      <c r="O126" s="156">
        <f t="shared" si="12"/>
        <v>0</v>
      </c>
      <c r="P126" s="156">
        <f t="shared" si="12"/>
        <v>0</v>
      </c>
      <c r="Q126" s="156">
        <f t="shared" si="12"/>
        <v>0</v>
      </c>
      <c r="R126" s="156">
        <f t="shared" si="12"/>
        <v>0</v>
      </c>
      <c r="S126" s="156">
        <f t="shared" si="12"/>
        <v>0</v>
      </c>
      <c r="T126" s="156">
        <f t="shared" si="12"/>
        <v>0</v>
      </c>
      <c r="U126" s="156">
        <f t="shared" si="12"/>
        <v>0</v>
      </c>
      <c r="V126" s="156">
        <f t="shared" si="12"/>
        <v>0</v>
      </c>
      <c r="W126" s="156">
        <f t="shared" si="12"/>
        <v>0</v>
      </c>
      <c r="X126" s="156">
        <f t="shared" si="12"/>
        <v>0</v>
      </c>
      <c r="Y126" s="156">
        <f t="shared" si="12"/>
        <v>0</v>
      </c>
      <c r="Z126" s="156">
        <f t="shared" si="12"/>
        <v>0</v>
      </c>
      <c r="AA126" s="156">
        <f t="shared" si="12"/>
        <v>0</v>
      </c>
      <c r="AB126" s="156">
        <f t="shared" si="12"/>
        <v>0</v>
      </c>
      <c r="AC126" s="156">
        <f t="shared" si="12"/>
        <v>0</v>
      </c>
      <c r="AD126" s="156">
        <f t="shared" si="12"/>
        <v>0</v>
      </c>
      <c r="AE126" s="156">
        <f t="shared" si="12"/>
        <v>0</v>
      </c>
      <c r="AF126" s="156">
        <f t="shared" si="12"/>
        <v>0</v>
      </c>
      <c r="AG126" s="156">
        <f t="shared" si="12"/>
        <v>0</v>
      </c>
    </row>
    <row r="127" spans="1:99" ht="15" customHeight="1" outlineLevel="1" thickBot="1">
      <c r="D127" s="185"/>
      <c r="E127" s="128"/>
      <c r="G127" s="128"/>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row>
    <row r="128" spans="1:99" ht="14.5" outlineLevel="1" thickBot="1">
      <c r="A128" s="128"/>
      <c r="B128" s="132"/>
      <c r="C128" s="132" t="s">
        <v>325</v>
      </c>
      <c r="D128" s="133"/>
      <c r="E128" s="133"/>
      <c r="F128" s="133"/>
      <c r="G128" s="128"/>
      <c r="H128" s="133"/>
      <c r="I128" s="178"/>
      <c r="J128" s="178"/>
      <c r="K128" s="133">
        <f>$K$1</f>
        <v>3</v>
      </c>
      <c r="L128" s="133">
        <f>$L$1</f>
        <v>4</v>
      </c>
      <c r="M128" s="133">
        <f>$M$1</f>
        <v>5</v>
      </c>
      <c r="N128" s="133">
        <f>$N$1</f>
        <v>6</v>
      </c>
      <c r="O128" s="133">
        <f>$O$1</f>
        <v>7</v>
      </c>
      <c r="P128" s="133">
        <f>$P$1</f>
        <v>8</v>
      </c>
      <c r="Q128" s="133">
        <f>$Q$1</f>
        <v>9</v>
      </c>
      <c r="R128" s="133">
        <f>$R$1</f>
        <v>10</v>
      </c>
      <c r="S128" s="133">
        <f>$S$1</f>
        <v>11</v>
      </c>
      <c r="T128" s="133">
        <f>$T$1</f>
        <v>12</v>
      </c>
      <c r="U128" s="133">
        <f>$U$1</f>
        <v>13</v>
      </c>
      <c r="V128" s="133">
        <f>$V$1</f>
        <v>14</v>
      </c>
      <c r="W128" s="133">
        <f>$W$1</f>
        <v>15</v>
      </c>
      <c r="X128" s="133">
        <f>$X$1</f>
        <v>16</v>
      </c>
      <c r="Y128" s="133">
        <f>$Y$1</f>
        <v>17</v>
      </c>
      <c r="Z128" s="133">
        <f>$Z$1</f>
        <v>18</v>
      </c>
      <c r="AA128" s="133">
        <f>$AA$1</f>
        <v>19</v>
      </c>
      <c r="AB128" s="133">
        <f>$AB$1</f>
        <v>20</v>
      </c>
      <c r="AC128" s="133">
        <f>$AC$1</f>
        <v>21</v>
      </c>
      <c r="AD128" s="133">
        <f>$AD$1</f>
        <v>22</v>
      </c>
      <c r="AE128" s="133">
        <f>$AE$1</f>
        <v>23</v>
      </c>
      <c r="AF128" s="133">
        <f>$AF$1</f>
        <v>24</v>
      </c>
      <c r="AG128" s="147">
        <f>$AG$1</f>
        <v>25</v>
      </c>
      <c r="AH128" s="128"/>
      <c r="AI128" s="128"/>
      <c r="AJ128" s="128"/>
      <c r="AK128" s="128"/>
      <c r="AL128" s="128"/>
      <c r="AM128" s="128"/>
      <c r="AN128" s="128"/>
      <c r="AO128" s="128"/>
      <c r="AP128" s="128"/>
      <c r="AQ128" s="128"/>
      <c r="AR128" s="128"/>
      <c r="AS128" s="128"/>
      <c r="AT128" s="128"/>
      <c r="AU128" s="128"/>
      <c r="AV128" s="128"/>
      <c r="AW128" s="128"/>
      <c r="AX128" s="128"/>
      <c r="AY128" s="128"/>
      <c r="AZ128" s="128"/>
      <c r="BA128" s="128"/>
      <c r="BB128" s="128"/>
      <c r="BC128" s="128"/>
      <c r="BD128" s="128"/>
      <c r="BE128" s="128"/>
      <c r="BF128" s="128"/>
      <c r="BG128" s="128"/>
      <c r="BH128" s="128"/>
      <c r="BI128" s="128"/>
      <c r="BJ128" s="128"/>
      <c r="BK128" s="128"/>
      <c r="BL128" s="128"/>
      <c r="BM128" s="128"/>
      <c r="BN128" s="128"/>
      <c r="BO128" s="128"/>
      <c r="BP128" s="128"/>
      <c r="BQ128" s="128"/>
      <c r="BR128" s="128"/>
      <c r="BS128" s="128"/>
      <c r="BT128" s="128"/>
      <c r="BU128" s="128"/>
      <c r="BV128" s="128"/>
      <c r="BW128" s="128"/>
      <c r="BX128" s="128"/>
      <c r="BY128" s="128"/>
      <c r="BZ128" s="128"/>
      <c r="CA128" s="128"/>
      <c r="CB128" s="128"/>
      <c r="CC128" s="128"/>
      <c r="CD128" s="128"/>
      <c r="CE128" s="128"/>
      <c r="CF128" s="128"/>
      <c r="CG128" s="128"/>
      <c r="CH128" s="128"/>
      <c r="CI128" s="128"/>
      <c r="CJ128" s="128"/>
      <c r="CK128" s="128"/>
      <c r="CL128" s="128"/>
      <c r="CM128" s="128"/>
      <c r="CN128" s="128"/>
      <c r="CO128" s="128"/>
      <c r="CP128" s="128"/>
      <c r="CQ128" s="128"/>
      <c r="CR128" s="128"/>
      <c r="CS128" s="128"/>
      <c r="CT128" s="128"/>
      <c r="CU128" s="128"/>
    </row>
    <row r="129" spans="1:99" ht="14.5" outlineLevel="1" thickBot="1">
      <c r="B129" s="186"/>
      <c r="C129" s="186" t="s">
        <v>326</v>
      </c>
      <c r="D129" s="187"/>
      <c r="E129" s="506">
        <v>0</v>
      </c>
      <c r="F129" s="148" t="s">
        <v>270</v>
      </c>
      <c r="G129" s="181"/>
      <c r="H129" s="151">
        <f>E129*$D$146</f>
        <v>0</v>
      </c>
      <c r="I129" s="189"/>
      <c r="J129" s="189"/>
      <c r="K129" s="189"/>
      <c r="L129" s="189"/>
      <c r="M129" s="189"/>
      <c r="N129" s="189"/>
      <c r="O129" s="189"/>
      <c r="P129" s="189"/>
      <c r="Q129" s="189"/>
      <c r="R129" s="189"/>
      <c r="S129" s="189"/>
      <c r="T129" s="189"/>
      <c r="U129" s="189"/>
      <c r="V129" s="189"/>
      <c r="W129" s="189"/>
      <c r="X129" s="189"/>
      <c r="Y129" s="189"/>
      <c r="Z129" s="189"/>
      <c r="AA129" s="189"/>
      <c r="AB129" s="189"/>
      <c r="AC129" s="189"/>
      <c r="AD129" s="189"/>
      <c r="AE129" s="189"/>
      <c r="AF129" s="189"/>
      <c r="AG129" s="189"/>
    </row>
    <row r="130" spans="1:99" ht="14.5" outlineLevel="1" thickBot="1">
      <c r="B130" s="186"/>
      <c r="C130" s="186" t="s">
        <v>327</v>
      </c>
      <c r="D130" s="187"/>
      <c r="E130" s="506">
        <v>0</v>
      </c>
      <c r="F130" s="148" t="s">
        <v>270</v>
      </c>
      <c r="G130" s="181"/>
      <c r="H130" s="151">
        <f>E130*$D$146</f>
        <v>0</v>
      </c>
      <c r="I130" s="189"/>
      <c r="J130" s="189"/>
      <c r="K130" s="189"/>
      <c r="L130" s="189"/>
      <c r="M130" s="189"/>
      <c r="N130" s="189"/>
      <c r="O130" s="189"/>
      <c r="P130" s="189"/>
      <c r="Q130" s="189"/>
      <c r="R130" s="189"/>
      <c r="S130" s="189"/>
      <c r="T130" s="189"/>
      <c r="U130" s="189"/>
      <c r="V130" s="189"/>
      <c r="W130" s="189"/>
      <c r="X130" s="189"/>
      <c r="Y130" s="189"/>
      <c r="Z130" s="189"/>
      <c r="AA130" s="189"/>
      <c r="AB130" s="189"/>
      <c r="AC130" s="189"/>
      <c r="AD130" s="189"/>
      <c r="AE130" s="189"/>
      <c r="AF130" s="189"/>
      <c r="AG130" s="189"/>
    </row>
    <row r="131" spans="1:99" ht="14.5" outlineLevel="1" thickBot="1">
      <c r="B131" s="186"/>
      <c r="C131" s="186" t="s">
        <v>323</v>
      </c>
      <c r="D131" s="187"/>
      <c r="E131" s="188"/>
      <c r="F131" s="148" t="s">
        <v>270</v>
      </c>
      <c r="G131" s="190"/>
      <c r="H131" s="151">
        <f>E131*$D$146</f>
        <v>0</v>
      </c>
      <c r="I131" s="191"/>
      <c r="J131" s="191"/>
      <c r="K131" s="191"/>
      <c r="L131" s="191"/>
      <c r="M131" s="191"/>
      <c r="N131" s="191"/>
      <c r="O131" s="191"/>
      <c r="P131" s="191"/>
      <c r="Q131" s="191"/>
      <c r="R131" s="191"/>
      <c r="S131" s="191"/>
      <c r="T131" s="191"/>
      <c r="U131" s="191"/>
      <c r="V131" s="191"/>
      <c r="W131" s="191"/>
      <c r="X131" s="191"/>
      <c r="Y131" s="191"/>
      <c r="Z131" s="191"/>
      <c r="AA131" s="191"/>
      <c r="AB131" s="191"/>
      <c r="AC131" s="191"/>
      <c r="AD131" s="191"/>
      <c r="AE131" s="191"/>
      <c r="AF131" s="191"/>
      <c r="AG131" s="191"/>
    </row>
    <row r="132" spans="1:99" ht="14.5" outlineLevel="1" thickBot="1">
      <c r="A132" s="128"/>
      <c r="B132" s="173"/>
      <c r="C132" s="173" t="s">
        <v>328</v>
      </c>
      <c r="D132" s="174"/>
      <c r="E132" s="174"/>
      <c r="F132" s="174"/>
      <c r="G132" s="176"/>
      <c r="H132" s="156">
        <f t="shared" ref="H132:AG132" si="13">SUM(H129:H131)</f>
        <v>0</v>
      </c>
      <c r="I132" s="156">
        <f t="shared" si="13"/>
        <v>0</v>
      </c>
      <c r="J132" s="156">
        <f t="shared" si="13"/>
        <v>0</v>
      </c>
      <c r="K132" s="156">
        <f t="shared" si="13"/>
        <v>0</v>
      </c>
      <c r="L132" s="156">
        <f t="shared" si="13"/>
        <v>0</v>
      </c>
      <c r="M132" s="156">
        <f t="shared" si="13"/>
        <v>0</v>
      </c>
      <c r="N132" s="156">
        <f t="shared" si="13"/>
        <v>0</v>
      </c>
      <c r="O132" s="156">
        <f t="shared" si="13"/>
        <v>0</v>
      </c>
      <c r="P132" s="156">
        <f t="shared" si="13"/>
        <v>0</v>
      </c>
      <c r="Q132" s="156">
        <f t="shared" si="13"/>
        <v>0</v>
      </c>
      <c r="R132" s="156">
        <f t="shared" si="13"/>
        <v>0</v>
      </c>
      <c r="S132" s="156">
        <f t="shared" si="13"/>
        <v>0</v>
      </c>
      <c r="T132" s="156">
        <f t="shared" si="13"/>
        <v>0</v>
      </c>
      <c r="U132" s="156">
        <f t="shared" si="13"/>
        <v>0</v>
      </c>
      <c r="V132" s="156">
        <f t="shared" si="13"/>
        <v>0</v>
      </c>
      <c r="W132" s="156">
        <f t="shared" si="13"/>
        <v>0</v>
      </c>
      <c r="X132" s="156">
        <f t="shared" si="13"/>
        <v>0</v>
      </c>
      <c r="Y132" s="156">
        <f t="shared" si="13"/>
        <v>0</v>
      </c>
      <c r="Z132" s="156">
        <f t="shared" si="13"/>
        <v>0</v>
      </c>
      <c r="AA132" s="156">
        <f t="shared" si="13"/>
        <v>0</v>
      </c>
      <c r="AB132" s="156">
        <f t="shared" si="13"/>
        <v>0</v>
      </c>
      <c r="AC132" s="156">
        <f t="shared" si="13"/>
        <v>0</v>
      </c>
      <c r="AD132" s="156">
        <f t="shared" si="13"/>
        <v>0</v>
      </c>
      <c r="AE132" s="156">
        <f t="shared" si="13"/>
        <v>0</v>
      </c>
      <c r="AF132" s="156">
        <f t="shared" si="13"/>
        <v>0</v>
      </c>
      <c r="AG132" s="156">
        <f t="shared" si="13"/>
        <v>0</v>
      </c>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c r="CD132" s="128"/>
      <c r="CE132" s="128"/>
      <c r="CF132" s="128"/>
      <c r="CG132" s="128"/>
      <c r="CH132" s="128"/>
      <c r="CI132" s="128"/>
      <c r="CJ132" s="128"/>
      <c r="CK132" s="128"/>
      <c r="CL132" s="128"/>
      <c r="CM132" s="128"/>
      <c r="CN132" s="128"/>
      <c r="CO132" s="128"/>
      <c r="CP132" s="128"/>
      <c r="CQ132" s="128"/>
      <c r="CR132" s="128"/>
      <c r="CS132" s="128"/>
      <c r="CT132" s="128"/>
      <c r="CU132" s="128"/>
    </row>
    <row r="133" spans="1:99" ht="14.5" outlineLevel="1" thickBot="1">
      <c r="C133" s="153"/>
      <c r="D133" s="153"/>
      <c r="E133" s="184"/>
      <c r="F133" s="153"/>
      <c r="G133" s="184"/>
      <c r="H133" s="193"/>
      <c r="I133" s="194"/>
      <c r="J133" s="194"/>
      <c r="K133" s="194"/>
      <c r="L133" s="194"/>
      <c r="M133" s="194"/>
      <c r="N133" s="194"/>
      <c r="O133" s="194"/>
      <c r="P133" s="194"/>
      <c r="Q133" s="194"/>
      <c r="R133" s="194"/>
      <c r="S133" s="194"/>
      <c r="T133" s="194"/>
      <c r="U133" s="194"/>
      <c r="V133" s="194"/>
      <c r="W133" s="194"/>
      <c r="X133" s="194"/>
      <c r="Y133" s="194"/>
      <c r="Z133" s="194"/>
      <c r="AA133" s="194"/>
      <c r="AB133" s="194"/>
      <c r="AC133" s="194"/>
      <c r="AD133" s="194"/>
      <c r="AE133" s="194"/>
      <c r="AF133" s="194"/>
      <c r="AG133" s="194"/>
    </row>
    <row r="134" spans="1:99" ht="14.5" outlineLevel="1" thickBot="1">
      <c r="A134" s="128"/>
      <c r="B134" s="132"/>
      <c r="C134" s="132" t="s">
        <v>329</v>
      </c>
      <c r="D134" s="133"/>
      <c r="E134" s="133"/>
      <c r="F134" s="133"/>
      <c r="G134" s="176"/>
      <c r="H134" s="133"/>
      <c r="I134" s="178">
        <f>$I$1</f>
        <v>1</v>
      </c>
      <c r="J134" s="178">
        <f>$J$1</f>
        <v>2</v>
      </c>
      <c r="K134" s="133">
        <f>$K$1</f>
        <v>3</v>
      </c>
      <c r="L134" s="133">
        <f>$L$1</f>
        <v>4</v>
      </c>
      <c r="M134" s="133">
        <f>$M$1</f>
        <v>5</v>
      </c>
      <c r="N134" s="133">
        <f>$N$1</f>
        <v>6</v>
      </c>
      <c r="O134" s="133">
        <f>$O$1</f>
        <v>7</v>
      </c>
      <c r="P134" s="133">
        <f>$P$1</f>
        <v>8</v>
      </c>
      <c r="Q134" s="133">
        <f>$Q$1</f>
        <v>9</v>
      </c>
      <c r="R134" s="133">
        <f>$R$1</f>
        <v>10</v>
      </c>
      <c r="S134" s="133">
        <f>$S$1</f>
        <v>11</v>
      </c>
      <c r="T134" s="133">
        <f>$T$1</f>
        <v>12</v>
      </c>
      <c r="U134" s="133">
        <f>$U$1</f>
        <v>13</v>
      </c>
      <c r="V134" s="133">
        <f>$V$1</f>
        <v>14</v>
      </c>
      <c r="W134" s="133">
        <f>$W$1</f>
        <v>15</v>
      </c>
      <c r="X134" s="133">
        <f>$X$1</f>
        <v>16</v>
      </c>
      <c r="Y134" s="133">
        <f>$Y$1</f>
        <v>17</v>
      </c>
      <c r="Z134" s="133">
        <f>$Z$1</f>
        <v>18</v>
      </c>
      <c r="AA134" s="133">
        <f>$AA$1</f>
        <v>19</v>
      </c>
      <c r="AB134" s="133">
        <f>$AB$1</f>
        <v>20</v>
      </c>
      <c r="AC134" s="133">
        <f>$AC$1</f>
        <v>21</v>
      </c>
      <c r="AD134" s="133">
        <f>$AD$1</f>
        <v>22</v>
      </c>
      <c r="AE134" s="133">
        <f>$AE$1</f>
        <v>23</v>
      </c>
      <c r="AF134" s="133">
        <f>$AF$1</f>
        <v>24</v>
      </c>
      <c r="AG134" s="147">
        <f>$AG$1</f>
        <v>25</v>
      </c>
      <c r="AH134" s="128"/>
      <c r="AI134" s="128"/>
      <c r="AJ134" s="128"/>
      <c r="AK134" s="128"/>
      <c r="AL134" s="128"/>
      <c r="AM134" s="128"/>
      <c r="AN134" s="128"/>
      <c r="AO134" s="128"/>
      <c r="AP134" s="128"/>
      <c r="AQ134" s="128"/>
      <c r="AR134" s="128"/>
      <c r="AS134" s="128"/>
      <c r="AT134" s="128"/>
      <c r="AU134" s="128"/>
      <c r="AV134" s="128"/>
      <c r="AW134" s="128"/>
      <c r="AX134" s="128"/>
      <c r="AY134" s="128"/>
      <c r="AZ134" s="128"/>
      <c r="BA134" s="128"/>
      <c r="BB134" s="128"/>
      <c r="BC134" s="128"/>
      <c r="BD134" s="128"/>
      <c r="BE134" s="128"/>
      <c r="BF134" s="128"/>
      <c r="BG134" s="128"/>
      <c r="BH134" s="128"/>
      <c r="BI134" s="128"/>
      <c r="BJ134" s="128"/>
      <c r="BK134" s="128"/>
      <c r="BL134" s="128"/>
      <c r="BM134" s="128"/>
      <c r="BN134" s="128"/>
      <c r="BO134" s="128"/>
      <c r="BP134" s="128"/>
      <c r="BQ134" s="128"/>
      <c r="BR134" s="128"/>
      <c r="BS134" s="128"/>
      <c r="BT134" s="128"/>
      <c r="BU134" s="128"/>
      <c r="BV134" s="128"/>
      <c r="BW134" s="128"/>
      <c r="BX134" s="128"/>
      <c r="BY134" s="128"/>
      <c r="BZ134" s="128"/>
      <c r="CA134" s="128"/>
      <c r="CB134" s="128"/>
      <c r="CC134" s="128"/>
      <c r="CD134" s="128"/>
      <c r="CE134" s="128"/>
      <c r="CF134" s="128"/>
      <c r="CG134" s="128"/>
      <c r="CH134" s="128"/>
      <c r="CI134" s="128"/>
      <c r="CJ134" s="128"/>
      <c r="CK134" s="128"/>
      <c r="CL134" s="128"/>
      <c r="CM134" s="128"/>
      <c r="CN134" s="128"/>
      <c r="CO134" s="128"/>
      <c r="CP134" s="128"/>
      <c r="CQ134" s="128"/>
      <c r="CR134" s="128"/>
      <c r="CS134" s="128"/>
      <c r="CT134" s="128"/>
      <c r="CU134" s="128"/>
    </row>
    <row r="135" spans="1:99" ht="14.5" outlineLevel="1" thickBot="1">
      <c r="B135" s="186"/>
      <c r="C135" s="186" t="s">
        <v>330</v>
      </c>
      <c r="D135" s="187"/>
      <c r="E135" s="188">
        <f>'Reference Prices'!K56/Initial_ER</f>
        <v>3607.1428571428573</v>
      </c>
      <c r="F135" s="148" t="s">
        <v>270</v>
      </c>
      <c r="G135" s="181"/>
      <c r="H135" s="151">
        <f t="shared" ref="H135:H143" si="14">E135*$D$146</f>
        <v>3607.1428571428573</v>
      </c>
      <c r="I135" s="159"/>
      <c r="J135" s="159"/>
      <c r="K135" s="159"/>
      <c r="L135" s="159"/>
      <c r="M135" s="159"/>
      <c r="N135" s="159"/>
      <c r="O135" s="159"/>
      <c r="P135" s="159"/>
      <c r="Q135" s="159"/>
      <c r="R135" s="159"/>
      <c r="S135" s="159"/>
      <c r="T135" s="159"/>
      <c r="U135" s="159"/>
      <c r="V135" s="159"/>
      <c r="W135" s="159"/>
      <c r="X135" s="159"/>
      <c r="Y135" s="159"/>
      <c r="Z135" s="159"/>
      <c r="AA135" s="159"/>
      <c r="AB135" s="159"/>
      <c r="AC135" s="159"/>
      <c r="AD135" s="159"/>
      <c r="AE135" s="159"/>
      <c r="AF135" s="159"/>
      <c r="AG135" s="159"/>
    </row>
    <row r="136" spans="1:99" ht="14.5" outlineLevel="1" thickBot="1">
      <c r="B136" s="186"/>
      <c r="C136" s="186" t="s">
        <v>331</v>
      </c>
      <c r="D136" s="187"/>
      <c r="E136" s="506">
        <v>0</v>
      </c>
      <c r="F136" s="148" t="s">
        <v>270</v>
      </c>
      <c r="G136" s="181"/>
      <c r="H136" s="151">
        <f t="shared" si="14"/>
        <v>0</v>
      </c>
      <c r="I136" s="159"/>
      <c r="J136" s="159"/>
      <c r="K136" s="159"/>
      <c r="L136" s="159"/>
      <c r="M136" s="159"/>
      <c r="N136" s="159"/>
      <c r="O136" s="159"/>
      <c r="P136" s="159"/>
      <c r="Q136" s="159"/>
      <c r="R136" s="159"/>
      <c r="S136" s="159"/>
      <c r="T136" s="159"/>
      <c r="U136" s="159"/>
      <c r="V136" s="159"/>
      <c r="W136" s="159"/>
      <c r="X136" s="159"/>
      <c r="Y136" s="159"/>
      <c r="Z136" s="159"/>
      <c r="AA136" s="159"/>
      <c r="AB136" s="159"/>
      <c r="AC136" s="159"/>
      <c r="AD136" s="159"/>
      <c r="AE136" s="159"/>
      <c r="AF136" s="159"/>
      <c r="AG136" s="159"/>
    </row>
    <row r="137" spans="1:99" ht="14.5" outlineLevel="1" thickBot="1">
      <c r="B137" s="186"/>
      <c r="C137" s="186" t="s">
        <v>332</v>
      </c>
      <c r="D137" s="187"/>
      <c r="E137" s="506">
        <v>0</v>
      </c>
      <c r="F137" s="148" t="s">
        <v>270</v>
      </c>
      <c r="G137" s="181"/>
      <c r="H137" s="151">
        <f t="shared" si="14"/>
        <v>0</v>
      </c>
      <c r="I137" s="159"/>
      <c r="J137" s="159"/>
      <c r="K137" s="159"/>
      <c r="L137" s="159"/>
      <c r="M137" s="159"/>
      <c r="N137" s="159"/>
      <c r="O137" s="159"/>
      <c r="P137" s="159"/>
      <c r="Q137" s="159"/>
      <c r="R137" s="159"/>
      <c r="S137" s="159"/>
      <c r="T137" s="159"/>
      <c r="U137" s="159"/>
      <c r="V137" s="159"/>
      <c r="W137" s="159"/>
      <c r="X137" s="159"/>
      <c r="Y137" s="159"/>
      <c r="Z137" s="159"/>
      <c r="AA137" s="159"/>
      <c r="AB137" s="159"/>
      <c r="AC137" s="159"/>
      <c r="AD137" s="159"/>
      <c r="AE137" s="159"/>
      <c r="AF137" s="159"/>
      <c r="AG137" s="159"/>
    </row>
    <row r="138" spans="1:99" ht="14.5" outlineLevel="1" thickBot="1">
      <c r="B138" s="186"/>
      <c r="C138" s="186" t="s">
        <v>333</v>
      </c>
      <c r="D138" s="187"/>
      <c r="E138" s="506">
        <f>0*415</f>
        <v>0</v>
      </c>
      <c r="F138" s="148" t="s">
        <v>270</v>
      </c>
      <c r="G138" s="181"/>
      <c r="H138" s="151">
        <f t="shared" si="14"/>
        <v>0</v>
      </c>
      <c r="I138" s="159"/>
      <c r="J138" s="159" t="s">
        <v>334</v>
      </c>
      <c r="K138" s="159"/>
      <c r="L138" s="159"/>
      <c r="M138" s="159"/>
      <c r="N138" s="159"/>
      <c r="O138" s="159"/>
      <c r="P138" s="159"/>
      <c r="Q138" s="159"/>
      <c r="R138" s="159"/>
      <c r="S138" s="159"/>
      <c r="T138" s="159"/>
      <c r="U138" s="159"/>
      <c r="V138" s="159"/>
      <c r="W138" s="159"/>
      <c r="X138" s="159"/>
      <c r="Y138" s="159"/>
      <c r="Z138" s="159"/>
      <c r="AA138" s="159"/>
      <c r="AB138" s="159"/>
      <c r="AC138" s="159"/>
      <c r="AD138" s="159"/>
      <c r="AE138" s="159"/>
      <c r="AF138" s="159"/>
      <c r="AG138" s="159"/>
    </row>
    <row r="139" spans="1:99" ht="14.5" outlineLevel="1" thickBot="1">
      <c r="B139" s="186"/>
      <c r="C139" s="186" t="s">
        <v>335</v>
      </c>
      <c r="D139" s="187"/>
      <c r="E139" s="506">
        <v>0</v>
      </c>
      <c r="F139" s="148" t="s">
        <v>270</v>
      </c>
      <c r="G139" s="181"/>
      <c r="H139" s="151">
        <f t="shared" si="14"/>
        <v>0</v>
      </c>
      <c r="I139" s="159"/>
      <c r="J139" s="159"/>
      <c r="K139" s="159"/>
      <c r="L139" s="159"/>
      <c r="M139" s="159"/>
      <c r="N139" s="159"/>
      <c r="O139" s="159"/>
      <c r="P139" s="159"/>
      <c r="Q139" s="159"/>
      <c r="R139" s="159"/>
      <c r="S139" s="159"/>
      <c r="T139" s="159"/>
      <c r="U139" s="159"/>
      <c r="V139" s="159"/>
      <c r="W139" s="159"/>
      <c r="X139" s="159"/>
      <c r="Y139" s="159"/>
      <c r="Z139" s="159"/>
      <c r="AA139" s="159"/>
      <c r="AB139" s="159"/>
      <c r="AC139" s="159"/>
      <c r="AD139" s="159"/>
      <c r="AE139" s="159"/>
      <c r="AF139" s="159"/>
      <c r="AG139" s="159"/>
    </row>
    <row r="140" spans="1:99" ht="14.5" outlineLevel="1" thickBot="1">
      <c r="B140" s="186"/>
      <c r="C140" s="186" t="s">
        <v>336</v>
      </c>
      <c r="D140" s="187"/>
      <c r="E140" s="506">
        <v>0</v>
      </c>
      <c r="F140" s="148" t="s">
        <v>270</v>
      </c>
      <c r="G140" s="181"/>
      <c r="H140" s="151">
        <f t="shared" si="14"/>
        <v>0</v>
      </c>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c r="AF140" s="159"/>
      <c r="AG140" s="159"/>
    </row>
    <row r="141" spans="1:99" ht="14.5" outlineLevel="1" thickBot="1">
      <c r="B141" s="186"/>
      <c r="C141" s="186" t="s">
        <v>337</v>
      </c>
      <c r="D141" s="187"/>
      <c r="E141" s="506">
        <v>0</v>
      </c>
      <c r="F141" s="148" t="s">
        <v>270</v>
      </c>
      <c r="G141" s="181"/>
      <c r="H141" s="151">
        <f t="shared" si="14"/>
        <v>0</v>
      </c>
      <c r="I141" s="159"/>
      <c r="J141" s="159"/>
      <c r="K141" s="159"/>
      <c r="L141" s="159"/>
      <c r="M141" s="159"/>
      <c r="N141" s="159"/>
      <c r="O141" s="159"/>
      <c r="P141" s="159"/>
      <c r="Q141" s="159"/>
      <c r="R141" s="159"/>
      <c r="S141" s="159"/>
      <c r="T141" s="159"/>
      <c r="U141" s="159"/>
      <c r="V141" s="159"/>
      <c r="W141" s="159"/>
      <c r="X141" s="159"/>
      <c r="Y141" s="159"/>
      <c r="Z141" s="159"/>
      <c r="AA141" s="159"/>
      <c r="AB141" s="159"/>
      <c r="AC141" s="159"/>
      <c r="AD141" s="159"/>
      <c r="AE141" s="159"/>
      <c r="AF141" s="159"/>
      <c r="AG141" s="159"/>
    </row>
    <row r="142" spans="1:99" ht="14.5" outlineLevel="1" thickBot="1">
      <c r="B142" s="186"/>
      <c r="C142" s="186" t="s">
        <v>338</v>
      </c>
      <c r="D142" s="187"/>
      <c r="E142" s="506">
        <v>0</v>
      </c>
      <c r="F142" s="148" t="s">
        <v>270</v>
      </c>
      <c r="G142" s="181"/>
      <c r="H142" s="151">
        <f t="shared" si="14"/>
        <v>0</v>
      </c>
      <c r="I142" s="159"/>
      <c r="J142" s="159"/>
      <c r="K142" s="159"/>
      <c r="L142" s="159"/>
      <c r="M142" s="159"/>
      <c r="N142" s="159"/>
      <c r="O142" s="159"/>
      <c r="P142" s="159"/>
      <c r="Q142" s="159"/>
      <c r="R142" s="159"/>
      <c r="S142" s="159"/>
      <c r="T142" s="159"/>
      <c r="U142" s="159"/>
      <c r="V142" s="159"/>
      <c r="W142" s="159"/>
      <c r="X142" s="159"/>
      <c r="Y142" s="159"/>
      <c r="Z142" s="159"/>
      <c r="AA142" s="159"/>
      <c r="AB142" s="159"/>
      <c r="AC142" s="159"/>
      <c r="AD142" s="159"/>
      <c r="AE142" s="159"/>
      <c r="AF142" s="159"/>
      <c r="AG142" s="159"/>
    </row>
    <row r="143" spans="1:99" ht="14.5" outlineLevel="1" thickBot="1">
      <c r="B143" s="186"/>
      <c r="C143" s="186" t="s">
        <v>323</v>
      </c>
      <c r="D143" s="187" t="s">
        <v>553</v>
      </c>
      <c r="E143" s="188">
        <f>('Reference Prices'!J57+'Backend Finance'!I21)/Initial_ER</f>
        <v>2105.3571428571427</v>
      </c>
      <c r="F143" s="148" t="s">
        <v>270</v>
      </c>
      <c r="G143" s="181"/>
      <c r="H143" s="151">
        <f t="shared" si="14"/>
        <v>2105.3571428571427</v>
      </c>
      <c r="I143" s="159"/>
      <c r="J143" s="159"/>
      <c r="K143" s="159"/>
      <c r="L143" s="159"/>
      <c r="M143" s="159"/>
      <c r="N143" s="159"/>
      <c r="O143" s="159"/>
      <c r="P143" s="159"/>
      <c r="Q143" s="159"/>
      <c r="R143" s="159"/>
      <c r="S143" s="159"/>
      <c r="T143" s="159"/>
      <c r="U143" s="159"/>
      <c r="V143" s="159"/>
      <c r="W143" s="159"/>
      <c r="X143" s="159"/>
      <c r="Y143" s="159"/>
      <c r="Z143" s="159"/>
      <c r="AA143" s="159"/>
      <c r="AB143" s="159"/>
      <c r="AC143" s="159"/>
      <c r="AD143" s="159"/>
      <c r="AE143" s="159"/>
      <c r="AF143" s="159"/>
      <c r="AG143" s="159"/>
    </row>
    <row r="144" spans="1:99" ht="14.5" outlineLevel="1" thickBot="1">
      <c r="A144" s="128"/>
      <c r="B144" s="187"/>
      <c r="C144" s="173" t="s">
        <v>339</v>
      </c>
      <c r="D144" s="174"/>
      <c r="E144" s="174"/>
      <c r="F144" s="174"/>
      <c r="G144" s="176"/>
      <c r="H144" s="156">
        <f>SUM(H135:H143)</f>
        <v>5712.5</v>
      </c>
      <c r="I144" s="156">
        <f t="shared" ref="I144:AG144" si="15">SUM(I135:I143)</f>
        <v>0</v>
      </c>
      <c r="J144" s="156">
        <f t="shared" si="15"/>
        <v>0</v>
      </c>
      <c r="K144" s="156">
        <f t="shared" si="15"/>
        <v>0</v>
      </c>
      <c r="L144" s="156">
        <f t="shared" si="15"/>
        <v>0</v>
      </c>
      <c r="M144" s="156">
        <f t="shared" si="15"/>
        <v>0</v>
      </c>
      <c r="N144" s="156">
        <f t="shared" si="15"/>
        <v>0</v>
      </c>
      <c r="O144" s="156">
        <f t="shared" si="15"/>
        <v>0</v>
      </c>
      <c r="P144" s="156">
        <f t="shared" si="15"/>
        <v>0</v>
      </c>
      <c r="Q144" s="156">
        <f t="shared" si="15"/>
        <v>0</v>
      </c>
      <c r="R144" s="156">
        <f t="shared" si="15"/>
        <v>0</v>
      </c>
      <c r="S144" s="156">
        <f t="shared" si="15"/>
        <v>0</v>
      </c>
      <c r="T144" s="156">
        <f t="shared" si="15"/>
        <v>0</v>
      </c>
      <c r="U144" s="156">
        <f t="shared" si="15"/>
        <v>0</v>
      </c>
      <c r="V144" s="156">
        <f t="shared" si="15"/>
        <v>0</v>
      </c>
      <c r="W144" s="156">
        <f t="shared" si="15"/>
        <v>0</v>
      </c>
      <c r="X144" s="156">
        <f t="shared" si="15"/>
        <v>0</v>
      </c>
      <c r="Y144" s="156">
        <f t="shared" si="15"/>
        <v>0</v>
      </c>
      <c r="Z144" s="156">
        <f t="shared" si="15"/>
        <v>0</v>
      </c>
      <c r="AA144" s="156">
        <f t="shared" si="15"/>
        <v>0</v>
      </c>
      <c r="AB144" s="156">
        <f t="shared" si="15"/>
        <v>0</v>
      </c>
      <c r="AC144" s="156">
        <f t="shared" si="15"/>
        <v>0</v>
      </c>
      <c r="AD144" s="156">
        <f t="shared" si="15"/>
        <v>0</v>
      </c>
      <c r="AE144" s="156">
        <f t="shared" si="15"/>
        <v>0</v>
      </c>
      <c r="AF144" s="156">
        <f t="shared" si="15"/>
        <v>0</v>
      </c>
      <c r="AG144" s="156">
        <f t="shared" si="15"/>
        <v>0</v>
      </c>
      <c r="AH144" s="128"/>
      <c r="AI144" s="128"/>
      <c r="AJ144" s="128"/>
      <c r="AK144" s="128"/>
      <c r="AL144" s="128"/>
      <c r="AM144" s="128"/>
      <c r="AN144" s="128"/>
      <c r="AO144" s="128"/>
      <c r="AP144" s="128"/>
      <c r="AQ144" s="128"/>
      <c r="AR144" s="128"/>
      <c r="AS144" s="128"/>
      <c r="AT144" s="128"/>
      <c r="AU144" s="128"/>
      <c r="AV144" s="128"/>
      <c r="AW144" s="128"/>
      <c r="AX144" s="128"/>
      <c r="AY144" s="128"/>
      <c r="AZ144" s="128"/>
      <c r="BA144" s="128"/>
      <c r="BB144" s="128"/>
      <c r="BC144" s="128"/>
      <c r="BD144" s="128"/>
      <c r="BE144" s="128"/>
      <c r="BF144" s="128"/>
      <c r="BG144" s="128"/>
      <c r="BH144" s="128"/>
      <c r="BI144" s="128"/>
      <c r="BJ144" s="128"/>
      <c r="BK144" s="128"/>
      <c r="BL144" s="128"/>
      <c r="BM144" s="128"/>
      <c r="BN144" s="128"/>
      <c r="BO144" s="128"/>
      <c r="BP144" s="128"/>
      <c r="BQ144" s="128"/>
      <c r="BR144" s="128"/>
      <c r="BS144" s="128"/>
      <c r="BT144" s="128"/>
      <c r="BU144" s="128"/>
      <c r="BV144" s="128"/>
      <c r="BW144" s="128"/>
      <c r="BX144" s="128"/>
      <c r="BY144" s="128"/>
      <c r="BZ144" s="128"/>
      <c r="CA144" s="128"/>
      <c r="CB144" s="128"/>
      <c r="CC144" s="128"/>
      <c r="CD144" s="128"/>
      <c r="CE144" s="128"/>
      <c r="CF144" s="128"/>
      <c r="CG144" s="128"/>
      <c r="CH144" s="128"/>
      <c r="CI144" s="128"/>
      <c r="CJ144" s="128"/>
      <c r="CK144" s="128"/>
      <c r="CL144" s="128"/>
      <c r="CM144" s="128"/>
      <c r="CN144" s="128"/>
      <c r="CO144" s="128"/>
      <c r="CP144" s="128"/>
      <c r="CQ144" s="128"/>
      <c r="CR144" s="128"/>
      <c r="CS144" s="128"/>
      <c r="CT144" s="128"/>
      <c r="CU144" s="128"/>
    </row>
    <row r="145" spans="1:99" ht="14.5" outlineLevel="1" thickBot="1">
      <c r="C145" s="153"/>
      <c r="D145" s="153"/>
      <c r="E145" s="184"/>
      <c r="F145" s="153"/>
      <c r="G145" s="184"/>
      <c r="H145" s="195"/>
      <c r="I145" s="196"/>
      <c r="J145" s="196"/>
      <c r="K145" s="196"/>
      <c r="L145" s="196"/>
      <c r="M145" s="196"/>
      <c r="N145" s="196"/>
      <c r="O145" s="196"/>
      <c r="P145" s="196"/>
      <c r="Q145" s="196"/>
      <c r="R145" s="196"/>
      <c r="S145" s="196"/>
      <c r="T145" s="196"/>
      <c r="U145" s="196"/>
      <c r="V145" s="196"/>
      <c r="W145" s="196"/>
      <c r="X145" s="196"/>
      <c r="Y145" s="196"/>
      <c r="Z145" s="196"/>
      <c r="AA145" s="196"/>
      <c r="AB145" s="196"/>
      <c r="AC145" s="196"/>
      <c r="AD145" s="196"/>
      <c r="AE145" s="196"/>
      <c r="AF145" s="196"/>
      <c r="AG145" s="196"/>
    </row>
    <row r="146" spans="1:99" ht="14.5" outlineLevel="1" thickBot="1">
      <c r="B146" s="148"/>
      <c r="C146" s="148" t="s">
        <v>340</v>
      </c>
      <c r="D146" s="507">
        <v>1</v>
      </c>
      <c r="E146" s="134" t="s">
        <v>261</v>
      </c>
      <c r="G146" s="184"/>
      <c r="H146" s="195"/>
      <c r="I146" s="196"/>
      <c r="J146" s="196"/>
      <c r="K146" s="196"/>
      <c r="L146" s="196"/>
      <c r="M146" s="196"/>
      <c r="N146" s="196"/>
      <c r="O146" s="196"/>
      <c r="P146" s="196"/>
      <c r="Q146" s="196"/>
      <c r="R146" s="196"/>
      <c r="S146" s="196"/>
      <c r="T146" s="196"/>
      <c r="U146" s="196"/>
      <c r="V146" s="196"/>
      <c r="W146" s="196"/>
      <c r="X146" s="196"/>
      <c r="Y146" s="196"/>
      <c r="Z146" s="196"/>
      <c r="AA146" s="196"/>
      <c r="AB146" s="196"/>
      <c r="AC146" s="196"/>
      <c r="AD146" s="196"/>
      <c r="AE146" s="196"/>
      <c r="AF146" s="196"/>
      <c r="AG146" s="196"/>
    </row>
    <row r="147" spans="1:99" outlineLevel="1">
      <c r="C147" s="153"/>
      <c r="D147" s="153"/>
      <c r="E147" s="184"/>
      <c r="F147" s="153"/>
      <c r="G147" s="184"/>
      <c r="H147" s="195"/>
      <c r="I147" s="196"/>
      <c r="J147" s="196"/>
      <c r="K147" s="196"/>
      <c r="L147" s="196"/>
      <c r="M147" s="196"/>
      <c r="N147" s="196"/>
      <c r="O147" s="196"/>
      <c r="P147" s="196"/>
      <c r="Q147" s="196"/>
      <c r="R147" s="196"/>
      <c r="S147" s="196"/>
      <c r="T147" s="196"/>
      <c r="U147" s="196"/>
      <c r="V147" s="196"/>
      <c r="W147" s="196"/>
      <c r="X147" s="196"/>
      <c r="Y147" s="196"/>
      <c r="Z147" s="196"/>
      <c r="AA147" s="196"/>
      <c r="AB147" s="196"/>
      <c r="AC147" s="196"/>
      <c r="AD147" s="196"/>
      <c r="AE147" s="196"/>
      <c r="AF147" s="196"/>
      <c r="AG147" s="196"/>
    </row>
    <row r="148" spans="1:99" s="197" customFormat="1" ht="20.25" customHeight="1" outlineLevel="1">
      <c r="B148" s="198"/>
      <c r="C148" s="199" t="s">
        <v>341</v>
      </c>
      <c r="D148" s="200"/>
      <c r="E148" s="200"/>
      <c r="F148" s="200"/>
      <c r="G148" s="201"/>
      <c r="H148" s="200">
        <f>SUM(H144+H132+H126+H120+H70+H108)</f>
        <v>62303.235714285714</v>
      </c>
      <c r="I148" s="198">
        <f t="shared" ref="I148:AG148" si="16">SUM(I144+I132+I120+I69+I108)</f>
        <v>0</v>
      </c>
      <c r="J148" s="198">
        <f t="shared" si="16"/>
        <v>0</v>
      </c>
      <c r="K148" s="198">
        <f t="shared" si="16"/>
        <v>0</v>
      </c>
      <c r="L148" s="198">
        <f t="shared" si="16"/>
        <v>0</v>
      </c>
      <c r="M148" s="198">
        <f t="shared" si="16"/>
        <v>0</v>
      </c>
      <c r="N148" s="198">
        <f t="shared" si="16"/>
        <v>0</v>
      </c>
      <c r="O148" s="198">
        <f t="shared" si="16"/>
        <v>0</v>
      </c>
      <c r="P148" s="198">
        <f t="shared" si="16"/>
        <v>0</v>
      </c>
      <c r="Q148" s="198">
        <f t="shared" si="16"/>
        <v>0</v>
      </c>
      <c r="R148" s="198">
        <f t="shared" si="16"/>
        <v>0</v>
      </c>
      <c r="S148" s="198">
        <f t="shared" si="16"/>
        <v>0</v>
      </c>
      <c r="T148" s="198">
        <f t="shared" si="16"/>
        <v>0</v>
      </c>
      <c r="U148" s="198">
        <f t="shared" si="16"/>
        <v>0</v>
      </c>
      <c r="V148" s="198">
        <f t="shared" si="16"/>
        <v>0</v>
      </c>
      <c r="W148" s="198">
        <f t="shared" si="16"/>
        <v>6105.0792191634855</v>
      </c>
      <c r="X148" s="198">
        <f t="shared" si="16"/>
        <v>0</v>
      </c>
      <c r="Y148" s="198">
        <f t="shared" si="16"/>
        <v>0</v>
      </c>
      <c r="Z148" s="198">
        <f t="shared" si="16"/>
        <v>0</v>
      </c>
      <c r="AA148" s="198">
        <f t="shared" si="16"/>
        <v>0</v>
      </c>
      <c r="AB148" s="198">
        <f t="shared" si="16"/>
        <v>0</v>
      </c>
      <c r="AC148" s="198">
        <f t="shared" si="16"/>
        <v>0</v>
      </c>
      <c r="AD148" s="198">
        <f t="shared" si="16"/>
        <v>0</v>
      </c>
      <c r="AE148" s="198">
        <f t="shared" si="16"/>
        <v>0</v>
      </c>
      <c r="AF148" s="198">
        <f t="shared" si="16"/>
        <v>0</v>
      </c>
      <c r="AG148" s="198">
        <f t="shared" si="16"/>
        <v>0</v>
      </c>
    </row>
    <row r="149" spans="1:99" outlineLevel="1">
      <c r="C149" s="153"/>
      <c r="D149" s="153"/>
      <c r="E149" s="153"/>
      <c r="F149" s="153"/>
      <c r="G149" s="184"/>
      <c r="H149" s="195"/>
      <c r="I149" s="202"/>
      <c r="J149" s="202"/>
      <c r="K149" s="202"/>
      <c r="L149" s="202"/>
      <c r="M149" s="202"/>
      <c r="N149" s="202"/>
      <c r="O149" s="202"/>
      <c r="P149" s="202"/>
      <c r="Q149" s="202"/>
      <c r="R149" s="202"/>
      <c r="S149" s="202"/>
      <c r="T149" s="202"/>
      <c r="U149" s="202"/>
      <c r="V149" s="202"/>
      <c r="W149" s="202"/>
      <c r="X149" s="202"/>
      <c r="Y149" s="202"/>
      <c r="Z149" s="202"/>
      <c r="AA149" s="202"/>
      <c r="AB149" s="202"/>
      <c r="AC149" s="202"/>
      <c r="AD149" s="202"/>
      <c r="AE149" s="202"/>
      <c r="AF149" s="202"/>
      <c r="AG149" s="202"/>
    </row>
    <row r="150" spans="1:99" outlineLevel="1">
      <c r="C150" s="153"/>
      <c r="D150" s="153"/>
      <c r="E150" s="153"/>
      <c r="F150" s="153"/>
      <c r="G150" s="184"/>
      <c r="H150" s="195"/>
      <c r="I150" s="202"/>
      <c r="J150" s="202"/>
      <c r="K150" s="202"/>
      <c r="L150" s="202"/>
      <c r="M150" s="202"/>
      <c r="N150" s="202"/>
      <c r="O150" s="202"/>
      <c r="P150" s="202"/>
      <c r="Q150" s="202"/>
      <c r="R150" s="202"/>
      <c r="S150" s="202"/>
      <c r="T150" s="202"/>
      <c r="U150" s="202"/>
      <c r="V150" s="202"/>
      <c r="W150" s="202"/>
      <c r="X150" s="202"/>
      <c r="Y150" s="202"/>
      <c r="Z150" s="202"/>
      <c r="AA150" s="202"/>
      <c r="AB150" s="202"/>
      <c r="AC150" s="202"/>
      <c r="AD150" s="202"/>
      <c r="AE150" s="202"/>
      <c r="AF150" s="202"/>
      <c r="AG150" s="202"/>
    </row>
    <row r="151" spans="1:99" ht="23.5" outlineLevel="1" thickBot="1">
      <c r="B151" s="203"/>
      <c r="C151" s="204" t="s">
        <v>342</v>
      </c>
      <c r="D151" s="143"/>
      <c r="E151" s="143"/>
      <c r="F151" s="143"/>
      <c r="G151" s="128"/>
      <c r="H151" s="144"/>
      <c r="I151" s="144"/>
      <c r="J151" s="144"/>
      <c r="K151" s="145">
        <f>$K$1</f>
        <v>3</v>
      </c>
      <c r="L151" s="145">
        <f>$L$1</f>
        <v>4</v>
      </c>
      <c r="M151" s="145">
        <f>$M$1</f>
        <v>5</v>
      </c>
      <c r="N151" s="145">
        <f>$N$1</f>
        <v>6</v>
      </c>
      <c r="O151" s="145">
        <f>$O$1</f>
        <v>7</v>
      </c>
      <c r="P151" s="145">
        <f>$P$1</f>
        <v>8</v>
      </c>
      <c r="Q151" s="145">
        <f>$Q$1</f>
        <v>9</v>
      </c>
      <c r="R151" s="145">
        <f>$R$1</f>
        <v>10</v>
      </c>
      <c r="S151" s="145">
        <f>$S$1</f>
        <v>11</v>
      </c>
      <c r="T151" s="145">
        <f>$T$1</f>
        <v>12</v>
      </c>
      <c r="U151" s="145">
        <f>$U$1</f>
        <v>13</v>
      </c>
      <c r="V151" s="145">
        <f>$V$1</f>
        <v>14</v>
      </c>
      <c r="W151" s="145">
        <f>$W$1</f>
        <v>15</v>
      </c>
      <c r="X151" s="145">
        <f>$X$1</f>
        <v>16</v>
      </c>
      <c r="Y151" s="145">
        <f>$Y$1</f>
        <v>17</v>
      </c>
      <c r="Z151" s="145">
        <f>$Z$1</f>
        <v>18</v>
      </c>
      <c r="AA151" s="145">
        <f>$AA$1</f>
        <v>19</v>
      </c>
      <c r="AB151" s="145">
        <f>$AB$1</f>
        <v>20</v>
      </c>
      <c r="AC151" s="145">
        <f>$AC$1</f>
        <v>21</v>
      </c>
      <c r="AD151" s="145">
        <f>$AD$1</f>
        <v>22</v>
      </c>
      <c r="AE151" s="145">
        <f>$AE$1</f>
        <v>23</v>
      </c>
      <c r="AF151" s="145">
        <f>$AF$1</f>
        <v>24</v>
      </c>
      <c r="AG151" s="145">
        <f>$AG$1</f>
        <v>25</v>
      </c>
    </row>
    <row r="152" spans="1:99" ht="14.5" outlineLevel="1" thickBot="1">
      <c r="B152" s="186"/>
      <c r="C152" s="187" t="s">
        <v>277</v>
      </c>
      <c r="D152" s="205"/>
      <c r="E152" s="205"/>
      <c r="F152" s="205"/>
      <c r="G152" s="184"/>
      <c r="H152" s="151">
        <f>$H$148*$D$44</f>
        <v>31151.617857142857</v>
      </c>
      <c r="I152" s="196"/>
      <c r="J152" s="196"/>
      <c r="K152" s="196"/>
      <c r="L152" s="196"/>
      <c r="M152" s="196"/>
      <c r="N152" s="196"/>
      <c r="O152" s="196"/>
      <c r="P152" s="196"/>
      <c r="Q152" s="196"/>
      <c r="R152" s="196"/>
      <c r="S152" s="196"/>
      <c r="T152" s="196"/>
      <c r="U152" s="196"/>
      <c r="V152" s="196"/>
      <c r="W152" s="196"/>
      <c r="X152" s="196"/>
      <c r="Y152" s="196"/>
      <c r="Z152" s="196"/>
      <c r="AA152" s="196"/>
      <c r="AB152" s="196"/>
      <c r="AC152" s="196"/>
      <c r="AD152" s="196"/>
      <c r="AE152" s="196"/>
      <c r="AF152" s="196"/>
      <c r="AG152" s="196"/>
    </row>
    <row r="153" spans="1:99" ht="14.5" outlineLevel="1" thickBot="1">
      <c r="B153" s="148"/>
      <c r="C153" s="187" t="s">
        <v>278</v>
      </c>
      <c r="D153" s="205"/>
      <c r="E153" s="205"/>
      <c r="F153" s="205"/>
      <c r="G153" s="184"/>
      <c r="H153" s="151">
        <f>$H$148*$D$45</f>
        <v>0</v>
      </c>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row>
    <row r="154" spans="1:99" ht="14.5" outlineLevel="1" thickBot="1">
      <c r="B154" s="148"/>
      <c r="C154" s="187" t="s">
        <v>267</v>
      </c>
      <c r="D154" s="205"/>
      <c r="E154" s="205"/>
      <c r="F154" s="205"/>
      <c r="G154" s="184"/>
      <c r="H154" s="151">
        <f>D38</f>
        <v>0</v>
      </c>
      <c r="I154" s="196"/>
      <c r="J154" s="196"/>
      <c r="K154" s="196"/>
      <c r="L154" s="196"/>
      <c r="M154" s="196"/>
      <c r="N154" s="196"/>
      <c r="O154" s="196"/>
      <c r="P154" s="196"/>
      <c r="Q154" s="196"/>
      <c r="R154" s="196"/>
      <c r="S154" s="196"/>
      <c r="T154" s="196"/>
      <c r="U154" s="196"/>
      <c r="V154" s="196"/>
      <c r="W154" s="196"/>
      <c r="X154" s="196"/>
      <c r="Y154" s="196"/>
      <c r="Z154" s="196"/>
      <c r="AA154" s="196"/>
      <c r="AB154" s="196"/>
      <c r="AC154" s="196"/>
      <c r="AD154" s="196"/>
      <c r="AE154" s="196"/>
      <c r="AF154" s="196"/>
      <c r="AG154" s="196"/>
    </row>
    <row r="155" spans="1:99" ht="14.5" outlineLevel="1" thickBot="1">
      <c r="B155" s="148"/>
      <c r="C155" s="187" t="s">
        <v>343</v>
      </c>
      <c r="D155" s="205"/>
      <c r="E155" s="205"/>
      <c r="F155" s="205"/>
      <c r="G155" s="184"/>
      <c r="H155" s="151">
        <f>D55</f>
        <v>0</v>
      </c>
      <c r="I155" s="196"/>
      <c r="J155" s="196"/>
      <c r="K155" s="196"/>
      <c r="L155" s="196"/>
      <c r="M155" s="196"/>
      <c r="N155" s="196"/>
      <c r="O155" s="196"/>
      <c r="P155" s="196"/>
      <c r="Q155" s="196"/>
      <c r="R155" s="196"/>
      <c r="S155" s="196"/>
      <c r="T155" s="196"/>
      <c r="U155" s="196"/>
      <c r="V155" s="196"/>
      <c r="W155" s="196"/>
      <c r="X155" s="196"/>
      <c r="Y155" s="196"/>
      <c r="Z155" s="196"/>
      <c r="AA155" s="196"/>
      <c r="AB155" s="196"/>
      <c r="AC155" s="196"/>
      <c r="AD155" s="196"/>
      <c r="AE155" s="196"/>
      <c r="AF155" s="196"/>
      <c r="AG155" s="196"/>
    </row>
    <row r="156" spans="1:99" ht="14.5" outlineLevel="1" thickBot="1">
      <c r="B156" s="148"/>
      <c r="C156" s="187" t="s">
        <v>344</v>
      </c>
      <c r="D156" s="205"/>
      <c r="E156" s="205"/>
      <c r="F156" s="205"/>
      <c r="G156" s="184"/>
      <c r="H156" s="151">
        <f>H148-SUM(H152:H155)</f>
        <v>31151.617857142857</v>
      </c>
      <c r="I156" s="196"/>
      <c r="J156" s="196"/>
      <c r="K156" s="196"/>
      <c r="L156" s="196"/>
      <c r="M156" s="196"/>
      <c r="N156" s="196"/>
      <c r="O156" s="196"/>
      <c r="P156" s="196"/>
      <c r="Q156" s="196"/>
      <c r="R156" s="196"/>
      <c r="S156" s="196"/>
      <c r="T156" s="196"/>
      <c r="U156" s="196"/>
      <c r="V156" s="196"/>
      <c r="W156" s="196"/>
      <c r="X156" s="196"/>
      <c r="Y156" s="196"/>
      <c r="Z156" s="196"/>
      <c r="AA156" s="196"/>
      <c r="AB156" s="196"/>
      <c r="AC156" s="196"/>
      <c r="AD156" s="196"/>
      <c r="AE156" s="196"/>
      <c r="AF156" s="196"/>
      <c r="AG156" s="196"/>
    </row>
    <row r="157" spans="1:99" s="207" customFormat="1" ht="20.25" customHeight="1" outlineLevel="1" thickBot="1">
      <c r="A157" s="206"/>
      <c r="C157" s="208" t="s">
        <v>345</v>
      </c>
      <c r="D157" s="209"/>
      <c r="E157" s="209"/>
      <c r="F157" s="209"/>
      <c r="G157" s="201"/>
      <c r="H157" s="210">
        <f>SUM(H152:H156)</f>
        <v>62303.235714285714</v>
      </c>
      <c r="AH157" s="206"/>
      <c r="AI157" s="206"/>
      <c r="AJ157" s="206"/>
      <c r="AK157" s="206"/>
      <c r="AL157" s="206"/>
      <c r="AM157" s="206"/>
      <c r="AN157" s="206"/>
      <c r="AO157" s="206"/>
      <c r="AP157" s="206"/>
      <c r="AQ157" s="206"/>
      <c r="AR157" s="206"/>
      <c r="AS157" s="206"/>
      <c r="AT157" s="206"/>
      <c r="AU157" s="206"/>
      <c r="AV157" s="206"/>
      <c r="AW157" s="206"/>
      <c r="AX157" s="206"/>
      <c r="AY157" s="206"/>
      <c r="AZ157" s="206"/>
      <c r="BA157" s="206"/>
      <c r="BB157" s="206"/>
      <c r="BC157" s="206"/>
      <c r="BD157" s="206"/>
      <c r="BE157" s="206"/>
      <c r="BF157" s="206"/>
      <c r="BG157" s="206"/>
      <c r="BH157" s="206"/>
      <c r="BI157" s="206"/>
      <c r="BJ157" s="206"/>
      <c r="BK157" s="206"/>
      <c r="BL157" s="206"/>
      <c r="BM157" s="206"/>
      <c r="BN157" s="206"/>
      <c r="BO157" s="206"/>
      <c r="BP157" s="206"/>
      <c r="BQ157" s="206"/>
      <c r="BR157" s="206"/>
      <c r="BS157" s="206"/>
      <c r="BT157" s="206"/>
      <c r="BU157" s="206"/>
      <c r="BV157" s="206"/>
      <c r="BW157" s="206"/>
      <c r="BX157" s="206"/>
      <c r="BY157" s="206"/>
      <c r="BZ157" s="206"/>
      <c r="CA157" s="206"/>
      <c r="CB157" s="206"/>
      <c r="CC157" s="206"/>
      <c r="CD157" s="206"/>
      <c r="CE157" s="206"/>
      <c r="CF157" s="206"/>
      <c r="CG157" s="206"/>
      <c r="CH157" s="206"/>
      <c r="CI157" s="206"/>
      <c r="CJ157" s="206"/>
      <c r="CK157" s="206"/>
      <c r="CL157" s="206"/>
      <c r="CM157" s="206"/>
      <c r="CN157" s="206"/>
      <c r="CO157" s="206"/>
      <c r="CP157" s="206"/>
      <c r="CQ157" s="206"/>
      <c r="CR157" s="206"/>
      <c r="CS157" s="206"/>
      <c r="CT157" s="206"/>
      <c r="CU157" s="206"/>
    </row>
    <row r="158" spans="1:99" outlineLevel="1">
      <c r="C158" s="153"/>
      <c r="D158" s="153"/>
      <c r="E158" s="153"/>
      <c r="F158" s="153"/>
      <c r="G158" s="184"/>
      <c r="H158" s="195"/>
      <c r="I158" s="202"/>
      <c r="J158" s="202"/>
      <c r="K158" s="202"/>
      <c r="L158" s="202"/>
      <c r="M158" s="202"/>
      <c r="N158" s="202"/>
      <c r="O158" s="202"/>
      <c r="P158" s="202"/>
      <c r="Q158" s="202"/>
      <c r="R158" s="202"/>
      <c r="S158" s="202"/>
      <c r="T158" s="202"/>
      <c r="U158" s="202"/>
      <c r="V158" s="202"/>
      <c r="W158" s="202"/>
      <c r="X158" s="202"/>
      <c r="Y158" s="202"/>
      <c r="Z158" s="202"/>
      <c r="AA158" s="202"/>
      <c r="AB158" s="202"/>
      <c r="AC158" s="202"/>
      <c r="AD158" s="202"/>
      <c r="AE158" s="202"/>
      <c r="AF158" s="202"/>
      <c r="AG158" s="202"/>
    </row>
    <row r="159" spans="1:99" outlineLevel="1">
      <c r="C159" s="153"/>
      <c r="D159" s="153"/>
      <c r="E159" s="153"/>
      <c r="F159" s="153"/>
      <c r="G159" s="184"/>
      <c r="H159" s="195"/>
      <c r="I159" s="202"/>
      <c r="J159" s="202"/>
      <c r="K159" s="202"/>
      <c r="L159" s="202"/>
      <c r="M159" s="202"/>
      <c r="N159" s="202"/>
      <c r="O159" s="202"/>
      <c r="P159" s="202"/>
      <c r="Q159" s="202"/>
      <c r="R159" s="202"/>
      <c r="S159" s="202"/>
      <c r="T159" s="202"/>
      <c r="U159" s="202"/>
      <c r="V159" s="202"/>
      <c r="W159" s="202"/>
      <c r="X159" s="202"/>
      <c r="Y159" s="202"/>
      <c r="Z159" s="202"/>
      <c r="AA159" s="202"/>
      <c r="AB159" s="202"/>
      <c r="AC159" s="202"/>
      <c r="AD159" s="202"/>
      <c r="AE159" s="202"/>
      <c r="AF159" s="202"/>
      <c r="AG159" s="202"/>
    </row>
    <row r="160" spans="1:99" ht="23" outlineLevel="1">
      <c r="B160" s="211"/>
      <c r="C160" s="204" t="s">
        <v>346</v>
      </c>
      <c r="D160" s="211"/>
      <c r="E160" s="204"/>
      <c r="F160" s="143"/>
      <c r="G160" s="128"/>
      <c r="H160" s="144"/>
      <c r="I160" s="144"/>
      <c r="J160" s="144"/>
      <c r="K160" s="145">
        <f>$K$1</f>
        <v>3</v>
      </c>
      <c r="L160" s="145">
        <f>$L$1</f>
        <v>4</v>
      </c>
      <c r="M160" s="145">
        <f>$M$1</f>
        <v>5</v>
      </c>
      <c r="N160" s="145">
        <f>$N$1</f>
        <v>6</v>
      </c>
      <c r="O160" s="145">
        <f>$O$1</f>
        <v>7</v>
      </c>
      <c r="P160" s="145">
        <f>$P$1</f>
        <v>8</v>
      </c>
      <c r="Q160" s="145">
        <f>$Q$1</f>
        <v>9</v>
      </c>
      <c r="R160" s="145">
        <f>$R$1</f>
        <v>10</v>
      </c>
      <c r="S160" s="145">
        <f>$S$1</f>
        <v>11</v>
      </c>
      <c r="T160" s="145">
        <f>$T$1</f>
        <v>12</v>
      </c>
      <c r="U160" s="145">
        <f>$U$1</f>
        <v>13</v>
      </c>
      <c r="V160" s="145">
        <f>$V$1</f>
        <v>14</v>
      </c>
      <c r="W160" s="145">
        <f>$W$1</f>
        <v>15</v>
      </c>
      <c r="X160" s="145">
        <f>$X$1</f>
        <v>16</v>
      </c>
      <c r="Y160" s="145">
        <f>$Y$1</f>
        <v>17</v>
      </c>
      <c r="Z160" s="145">
        <f>$Z$1</f>
        <v>18</v>
      </c>
      <c r="AA160" s="145">
        <f>$AA$1</f>
        <v>19</v>
      </c>
      <c r="AB160" s="145">
        <f>$AB$1</f>
        <v>20</v>
      </c>
      <c r="AC160" s="145">
        <f>$AC$1</f>
        <v>21</v>
      </c>
      <c r="AD160" s="145">
        <f>$AD$1</f>
        <v>22</v>
      </c>
      <c r="AE160" s="145">
        <f>$AE$1</f>
        <v>23</v>
      </c>
      <c r="AF160" s="145">
        <f>$AF$1</f>
        <v>24</v>
      </c>
      <c r="AG160" s="145">
        <f>$AG$1</f>
        <v>25</v>
      </c>
    </row>
    <row r="161" spans="1:99" ht="15" customHeight="1" outlineLevel="1" thickBot="1">
      <c r="G161" s="128"/>
    </row>
    <row r="162" spans="1:99" ht="14.5" outlineLevel="1" thickBot="1">
      <c r="A162" s="128"/>
      <c r="B162" s="132"/>
      <c r="C162" s="132" t="s">
        <v>347</v>
      </c>
      <c r="D162" s="133"/>
      <c r="E162" s="133"/>
      <c r="F162" s="133"/>
      <c r="G162" s="128"/>
      <c r="H162" s="133"/>
      <c r="I162" s="178">
        <f>$I$1</f>
        <v>1</v>
      </c>
      <c r="J162" s="178">
        <f>$J$1</f>
        <v>2</v>
      </c>
      <c r="K162" s="133">
        <f>$K$1</f>
        <v>3</v>
      </c>
      <c r="L162" s="133">
        <f>$L$1</f>
        <v>4</v>
      </c>
      <c r="M162" s="133">
        <f>$M$1</f>
        <v>5</v>
      </c>
      <c r="N162" s="133">
        <f>$N$1</f>
        <v>6</v>
      </c>
      <c r="O162" s="133">
        <f>$O$1</f>
        <v>7</v>
      </c>
      <c r="P162" s="133">
        <f>$P$1</f>
        <v>8</v>
      </c>
      <c r="Q162" s="133">
        <f>$Q$1</f>
        <v>9</v>
      </c>
      <c r="R162" s="133">
        <f>$R$1</f>
        <v>10</v>
      </c>
      <c r="S162" s="133">
        <f>$S$1</f>
        <v>11</v>
      </c>
      <c r="T162" s="133">
        <f>$T$1</f>
        <v>12</v>
      </c>
      <c r="U162" s="133">
        <f>$U$1</f>
        <v>13</v>
      </c>
      <c r="V162" s="133">
        <f>$V$1</f>
        <v>14</v>
      </c>
      <c r="W162" s="133">
        <f>$W$1</f>
        <v>15</v>
      </c>
      <c r="X162" s="133">
        <f>$X$1</f>
        <v>16</v>
      </c>
      <c r="Y162" s="133">
        <f>$Y$1</f>
        <v>17</v>
      </c>
      <c r="Z162" s="133">
        <f>$Z$1</f>
        <v>18</v>
      </c>
      <c r="AA162" s="133">
        <f>$AA$1</f>
        <v>19</v>
      </c>
      <c r="AB162" s="133">
        <f>$AB$1</f>
        <v>20</v>
      </c>
      <c r="AC162" s="133">
        <f>$AC$1</f>
        <v>21</v>
      </c>
      <c r="AD162" s="133">
        <f>$AD$1</f>
        <v>22</v>
      </c>
      <c r="AE162" s="133">
        <f>$AE$1</f>
        <v>23</v>
      </c>
      <c r="AF162" s="133">
        <f>$AF$1</f>
        <v>24</v>
      </c>
      <c r="AG162" s="147">
        <f>$AG$1</f>
        <v>25</v>
      </c>
      <c r="AH162" s="128"/>
      <c r="AI162" s="128"/>
      <c r="AJ162" s="128"/>
      <c r="AK162" s="128"/>
      <c r="AL162" s="128"/>
      <c r="AM162" s="128"/>
      <c r="AN162" s="128"/>
      <c r="AO162" s="128"/>
      <c r="AP162" s="128"/>
      <c r="AQ162" s="128"/>
      <c r="AR162" s="128"/>
      <c r="AS162" s="128"/>
      <c r="AT162" s="128"/>
      <c r="AU162" s="128"/>
      <c r="AV162" s="128"/>
      <c r="AW162" s="128"/>
      <c r="AX162" s="128"/>
      <c r="AY162" s="128"/>
      <c r="AZ162" s="128"/>
      <c r="BA162" s="128"/>
      <c r="BB162" s="128"/>
      <c r="BC162" s="128"/>
      <c r="BD162" s="128"/>
      <c r="BE162" s="128"/>
      <c r="BF162" s="128"/>
      <c r="BG162" s="128"/>
      <c r="BH162" s="128"/>
      <c r="BI162" s="128"/>
      <c r="BJ162" s="128"/>
      <c r="BK162" s="128"/>
      <c r="BL162" s="128"/>
      <c r="BM162" s="128"/>
      <c r="BN162" s="128"/>
      <c r="BO162" s="128"/>
      <c r="BP162" s="128"/>
      <c r="BQ162" s="128"/>
      <c r="BR162" s="128"/>
      <c r="BS162" s="128"/>
      <c r="BT162" s="128"/>
      <c r="BU162" s="128"/>
      <c r="BV162" s="128"/>
      <c r="BW162" s="128"/>
      <c r="BX162" s="128"/>
      <c r="BY162" s="128"/>
      <c r="BZ162" s="128"/>
      <c r="CA162" s="128"/>
      <c r="CB162" s="128"/>
      <c r="CC162" s="128"/>
      <c r="CD162" s="128"/>
      <c r="CE162" s="128"/>
      <c r="CF162" s="128"/>
      <c r="CG162" s="128"/>
      <c r="CH162" s="128"/>
      <c r="CI162" s="128"/>
      <c r="CJ162" s="128"/>
      <c r="CK162" s="128"/>
      <c r="CL162" s="128"/>
      <c r="CM162" s="128"/>
      <c r="CN162" s="128"/>
      <c r="CO162" s="128"/>
      <c r="CP162" s="128"/>
      <c r="CQ162" s="128"/>
      <c r="CR162" s="128"/>
      <c r="CS162" s="128"/>
      <c r="CT162" s="128"/>
      <c r="CU162" s="128"/>
    </row>
    <row r="163" spans="1:99" ht="14.5" outlineLevel="1" thickBot="1">
      <c r="B163" s="186"/>
      <c r="C163" s="186" t="s">
        <v>348</v>
      </c>
      <c r="D163" s="187"/>
      <c r="E163" s="513">
        <v>1.5</v>
      </c>
      <c r="F163" s="186" t="s">
        <v>349</v>
      </c>
      <c r="G163" s="179"/>
      <c r="H163" s="160"/>
      <c r="J163" s="160"/>
      <c r="K163" s="160"/>
      <c r="L163" s="160"/>
      <c r="M163" s="160"/>
      <c r="N163" s="160"/>
      <c r="O163" s="160"/>
      <c r="P163" s="160"/>
      <c r="Q163" s="160"/>
      <c r="R163" s="160"/>
      <c r="S163" s="160"/>
      <c r="T163" s="160"/>
      <c r="U163" s="160"/>
      <c r="V163" s="160"/>
      <c r="W163" s="160"/>
      <c r="X163" s="160"/>
      <c r="Y163" s="160"/>
      <c r="Z163" s="160"/>
      <c r="AA163" s="160"/>
      <c r="AB163" s="160"/>
      <c r="AC163" s="160"/>
      <c r="AD163" s="160"/>
      <c r="AE163" s="160"/>
      <c r="AF163" s="160"/>
      <c r="AG163" s="160"/>
    </row>
    <row r="164" spans="1:99" ht="14.5" outlineLevel="1" thickBot="1">
      <c r="B164" s="186"/>
      <c r="C164" s="186" t="s">
        <v>350</v>
      </c>
      <c r="D164" s="212" t="s">
        <v>554</v>
      </c>
      <c r="E164" s="506">
        <v>0</v>
      </c>
      <c r="F164" s="186" t="s">
        <v>578</v>
      </c>
      <c r="G164" s="213"/>
      <c r="H164" s="189"/>
    </row>
    <row r="165" spans="1:99" ht="14.5" outlineLevel="1" thickBot="1">
      <c r="B165" s="186"/>
      <c r="C165" s="186" t="s">
        <v>351</v>
      </c>
      <c r="D165" s="187"/>
      <c r="E165" s="214">
        <f>E163*E164</f>
        <v>0</v>
      </c>
      <c r="F165" s="186" t="s">
        <v>352</v>
      </c>
      <c r="G165" s="190"/>
      <c r="H165" s="160"/>
      <c r="I165" s="150">
        <f>E163</f>
        <v>1.5</v>
      </c>
      <c r="J165" s="150">
        <f t="shared" ref="J165:AG165" si="17">IF(J1&lt;=$D$18,I165*(1+I169),0)</f>
        <v>1.5</v>
      </c>
      <c r="K165" s="150">
        <f t="shared" si="17"/>
        <v>1.5750000000000002</v>
      </c>
      <c r="L165" s="150">
        <f t="shared" si="17"/>
        <v>1.5750000000000002</v>
      </c>
      <c r="M165" s="150">
        <f t="shared" si="17"/>
        <v>1.5750000000000002</v>
      </c>
      <c r="N165" s="150">
        <f t="shared" si="17"/>
        <v>1.5750000000000002</v>
      </c>
      <c r="O165" s="150">
        <f t="shared" si="17"/>
        <v>1.5750000000000002</v>
      </c>
      <c r="P165" s="150">
        <f t="shared" si="17"/>
        <v>1.5750000000000002</v>
      </c>
      <c r="Q165" s="150">
        <f t="shared" si="17"/>
        <v>1.5750000000000002</v>
      </c>
      <c r="R165" s="150">
        <f t="shared" si="17"/>
        <v>1.5750000000000002</v>
      </c>
      <c r="S165" s="150">
        <f t="shared" si="17"/>
        <v>1.5750000000000002</v>
      </c>
      <c r="T165" s="150">
        <f t="shared" si="17"/>
        <v>1.5750000000000002</v>
      </c>
      <c r="U165" s="150">
        <f t="shared" si="17"/>
        <v>1.5750000000000002</v>
      </c>
      <c r="V165" s="150">
        <f t="shared" si="17"/>
        <v>1.5750000000000002</v>
      </c>
      <c r="W165" s="150">
        <f t="shared" si="17"/>
        <v>1.5750000000000002</v>
      </c>
      <c r="X165" s="150">
        <f t="shared" si="17"/>
        <v>1.5750000000000002</v>
      </c>
      <c r="Y165" s="150">
        <f t="shared" si="17"/>
        <v>1.5750000000000002</v>
      </c>
      <c r="Z165" s="150">
        <f t="shared" si="17"/>
        <v>1.5750000000000002</v>
      </c>
      <c r="AA165" s="150">
        <f t="shared" si="17"/>
        <v>1.5750000000000002</v>
      </c>
      <c r="AB165" s="150">
        <f t="shared" si="17"/>
        <v>1.5750000000000002</v>
      </c>
      <c r="AC165" s="150">
        <f t="shared" si="17"/>
        <v>1.5750000000000002</v>
      </c>
      <c r="AD165" s="150">
        <f t="shared" si="17"/>
        <v>1.5750000000000002</v>
      </c>
      <c r="AE165" s="150">
        <f t="shared" si="17"/>
        <v>1.5750000000000002</v>
      </c>
      <c r="AF165" s="150">
        <f t="shared" si="17"/>
        <v>1.5750000000000002</v>
      </c>
      <c r="AG165" s="150">
        <f t="shared" si="17"/>
        <v>1.5750000000000002</v>
      </c>
    </row>
    <row r="166" spans="1:99" ht="14.5" outlineLevel="1" thickBot="1">
      <c r="B166" s="186"/>
      <c r="C166" s="186" t="s">
        <v>353</v>
      </c>
      <c r="D166" s="187"/>
      <c r="E166" s="138"/>
      <c r="F166" s="159"/>
      <c r="G166" s="190"/>
      <c r="H166" s="160"/>
      <c r="I166" s="150">
        <f>IF(I1&lt;=$D$18,E165*(1+I169),0)</f>
        <v>0</v>
      </c>
      <c r="J166" s="150">
        <f t="shared" ref="J166:AG166" si="18">IF(J1&lt;=$D$18,I166*(1+J169),0)</f>
        <v>0</v>
      </c>
      <c r="K166" s="150">
        <f t="shared" si="18"/>
        <v>0</v>
      </c>
      <c r="L166" s="150">
        <f t="shared" si="18"/>
        <v>0</v>
      </c>
      <c r="M166" s="150">
        <f t="shared" si="18"/>
        <v>0</v>
      </c>
      <c r="N166" s="150">
        <f t="shared" si="18"/>
        <v>0</v>
      </c>
      <c r="O166" s="150">
        <f t="shared" si="18"/>
        <v>0</v>
      </c>
      <c r="P166" s="150">
        <f t="shared" si="18"/>
        <v>0</v>
      </c>
      <c r="Q166" s="150">
        <f t="shared" si="18"/>
        <v>0</v>
      </c>
      <c r="R166" s="150">
        <f t="shared" si="18"/>
        <v>0</v>
      </c>
      <c r="S166" s="150">
        <f t="shared" si="18"/>
        <v>0</v>
      </c>
      <c r="T166" s="150">
        <f t="shared" si="18"/>
        <v>0</v>
      </c>
      <c r="U166" s="150">
        <f t="shared" si="18"/>
        <v>0</v>
      </c>
      <c r="V166" s="150">
        <f t="shared" si="18"/>
        <v>0</v>
      </c>
      <c r="W166" s="150">
        <f t="shared" si="18"/>
        <v>0</v>
      </c>
      <c r="X166" s="150">
        <f t="shared" si="18"/>
        <v>0</v>
      </c>
      <c r="Y166" s="150">
        <f t="shared" si="18"/>
        <v>0</v>
      </c>
      <c r="Z166" s="150">
        <f t="shared" si="18"/>
        <v>0</v>
      </c>
      <c r="AA166" s="150">
        <f t="shared" si="18"/>
        <v>0</v>
      </c>
      <c r="AB166" s="150">
        <f t="shared" si="18"/>
        <v>0</v>
      </c>
      <c r="AC166" s="150">
        <f t="shared" si="18"/>
        <v>0</v>
      </c>
      <c r="AD166" s="150">
        <f t="shared" si="18"/>
        <v>0</v>
      </c>
      <c r="AE166" s="150">
        <f t="shared" si="18"/>
        <v>0</v>
      </c>
      <c r="AF166" s="150">
        <f t="shared" si="18"/>
        <v>0</v>
      </c>
      <c r="AG166" s="150">
        <f t="shared" si="18"/>
        <v>0</v>
      </c>
    </row>
    <row r="167" spans="1:99" ht="14.5" outlineLevel="1" thickBot="1">
      <c r="B167" s="186"/>
      <c r="C167" s="186" t="s">
        <v>354</v>
      </c>
      <c r="D167" s="187"/>
      <c r="E167" s="138"/>
      <c r="F167" s="159"/>
      <c r="G167" s="190"/>
      <c r="H167" s="160"/>
      <c r="I167" s="150">
        <f>I164*I165</f>
        <v>0</v>
      </c>
      <c r="J167" s="150">
        <f t="shared" ref="J167:AG167" si="19">J164*J165</f>
        <v>0</v>
      </c>
      <c r="K167" s="150">
        <f t="shared" si="19"/>
        <v>0</v>
      </c>
      <c r="L167" s="150">
        <f t="shared" si="19"/>
        <v>0</v>
      </c>
      <c r="M167" s="150">
        <f t="shared" si="19"/>
        <v>0</v>
      </c>
      <c r="N167" s="150">
        <f t="shared" si="19"/>
        <v>0</v>
      </c>
      <c r="O167" s="150">
        <f t="shared" si="19"/>
        <v>0</v>
      </c>
      <c r="P167" s="150">
        <f t="shared" si="19"/>
        <v>0</v>
      </c>
      <c r="Q167" s="150">
        <f t="shared" si="19"/>
        <v>0</v>
      </c>
      <c r="R167" s="150">
        <f t="shared" si="19"/>
        <v>0</v>
      </c>
      <c r="S167" s="150">
        <f t="shared" si="19"/>
        <v>0</v>
      </c>
      <c r="T167" s="150">
        <f t="shared" si="19"/>
        <v>0</v>
      </c>
      <c r="U167" s="150">
        <f t="shared" si="19"/>
        <v>0</v>
      </c>
      <c r="V167" s="150">
        <f t="shared" si="19"/>
        <v>0</v>
      </c>
      <c r="W167" s="150">
        <f t="shared" si="19"/>
        <v>0</v>
      </c>
      <c r="X167" s="150">
        <f t="shared" si="19"/>
        <v>0</v>
      </c>
      <c r="Y167" s="150">
        <f t="shared" si="19"/>
        <v>0</v>
      </c>
      <c r="Z167" s="150">
        <f t="shared" si="19"/>
        <v>0</v>
      </c>
      <c r="AA167" s="150">
        <f t="shared" si="19"/>
        <v>0</v>
      </c>
      <c r="AB167" s="150">
        <f t="shared" si="19"/>
        <v>0</v>
      </c>
      <c r="AC167" s="150">
        <f t="shared" si="19"/>
        <v>0</v>
      </c>
      <c r="AD167" s="150">
        <f t="shared" si="19"/>
        <v>0</v>
      </c>
      <c r="AE167" s="150">
        <f t="shared" si="19"/>
        <v>0</v>
      </c>
      <c r="AF167" s="150">
        <f t="shared" si="19"/>
        <v>0</v>
      </c>
      <c r="AG167" s="150">
        <f t="shared" si="19"/>
        <v>0</v>
      </c>
    </row>
    <row r="168" spans="1:99" ht="14.5" outlineLevel="1" thickBot="1">
      <c r="B168" s="186"/>
      <c r="C168" s="186" t="s">
        <v>355</v>
      </c>
      <c r="D168" s="187"/>
      <c r="E168" s="138"/>
      <c r="F168" s="159"/>
      <c r="G168" s="190"/>
      <c r="H168" s="160"/>
      <c r="I168" s="150">
        <f>IF(I164&gt;0,I167,I166)</f>
        <v>0</v>
      </c>
      <c r="J168" s="150">
        <f t="shared" ref="J168:AG168" si="20">IF(J164&gt;0,J167,J166)</f>
        <v>0</v>
      </c>
      <c r="K168" s="150">
        <f t="shared" si="20"/>
        <v>0</v>
      </c>
      <c r="L168" s="150">
        <f t="shared" si="20"/>
        <v>0</v>
      </c>
      <c r="M168" s="150">
        <f t="shared" si="20"/>
        <v>0</v>
      </c>
      <c r="N168" s="150">
        <f t="shared" si="20"/>
        <v>0</v>
      </c>
      <c r="O168" s="150">
        <f t="shared" si="20"/>
        <v>0</v>
      </c>
      <c r="P168" s="150">
        <f t="shared" si="20"/>
        <v>0</v>
      </c>
      <c r="Q168" s="150">
        <f t="shared" si="20"/>
        <v>0</v>
      </c>
      <c r="R168" s="150">
        <f t="shared" si="20"/>
        <v>0</v>
      </c>
      <c r="S168" s="150">
        <f t="shared" si="20"/>
        <v>0</v>
      </c>
      <c r="T168" s="150">
        <f t="shared" si="20"/>
        <v>0</v>
      </c>
      <c r="U168" s="150">
        <f t="shared" si="20"/>
        <v>0</v>
      </c>
      <c r="V168" s="150">
        <f t="shared" si="20"/>
        <v>0</v>
      </c>
      <c r="W168" s="150">
        <f t="shared" si="20"/>
        <v>0</v>
      </c>
      <c r="X168" s="150">
        <f t="shared" si="20"/>
        <v>0</v>
      </c>
      <c r="Y168" s="150">
        <f t="shared" si="20"/>
        <v>0</v>
      </c>
      <c r="Z168" s="150">
        <f t="shared" si="20"/>
        <v>0</v>
      </c>
      <c r="AA168" s="150">
        <f t="shared" si="20"/>
        <v>0</v>
      </c>
      <c r="AB168" s="150">
        <f t="shared" si="20"/>
        <v>0</v>
      </c>
      <c r="AC168" s="150">
        <f t="shared" si="20"/>
        <v>0</v>
      </c>
      <c r="AD168" s="150">
        <f t="shared" si="20"/>
        <v>0</v>
      </c>
      <c r="AE168" s="150">
        <f t="shared" si="20"/>
        <v>0</v>
      </c>
      <c r="AF168" s="150">
        <f t="shared" si="20"/>
        <v>0</v>
      </c>
      <c r="AG168" s="150">
        <f t="shared" si="20"/>
        <v>0</v>
      </c>
    </row>
    <row r="169" spans="1:99" ht="14.5" outlineLevel="1" thickBot="1">
      <c r="B169" s="186"/>
      <c r="C169" s="186" t="s">
        <v>356</v>
      </c>
      <c r="D169" s="187"/>
      <c r="E169" s="138"/>
      <c r="F169" s="159"/>
      <c r="G169" s="190"/>
      <c r="H169" s="160"/>
      <c r="I169" s="511">
        <v>0</v>
      </c>
      <c r="J169" s="511">
        <v>0.05</v>
      </c>
      <c r="K169" s="511">
        <v>0</v>
      </c>
      <c r="L169" s="511">
        <v>0</v>
      </c>
      <c r="M169" s="511">
        <v>0</v>
      </c>
      <c r="N169" s="511">
        <v>0</v>
      </c>
      <c r="O169" s="511">
        <v>0</v>
      </c>
      <c r="P169" s="511">
        <v>0</v>
      </c>
      <c r="Q169" s="511">
        <v>0</v>
      </c>
      <c r="R169" s="511">
        <v>0</v>
      </c>
      <c r="S169" s="511">
        <v>0</v>
      </c>
      <c r="T169" s="511">
        <v>0</v>
      </c>
      <c r="U169" s="511">
        <v>0</v>
      </c>
      <c r="V169" s="511">
        <v>0</v>
      </c>
      <c r="W169" s="511">
        <v>0</v>
      </c>
      <c r="X169" s="511">
        <v>0</v>
      </c>
      <c r="Y169" s="511">
        <v>0</v>
      </c>
      <c r="Z169" s="511">
        <v>0</v>
      </c>
      <c r="AA169" s="511">
        <v>0</v>
      </c>
      <c r="AB169" s="511">
        <v>0</v>
      </c>
      <c r="AC169" s="511">
        <v>0</v>
      </c>
      <c r="AD169" s="511">
        <v>0</v>
      </c>
      <c r="AE169" s="511">
        <v>0</v>
      </c>
      <c r="AF169" s="511">
        <v>0</v>
      </c>
      <c r="AG169" s="511">
        <v>0</v>
      </c>
    </row>
    <row r="170" spans="1:99" ht="14.5" outlineLevel="1" thickBot="1">
      <c r="C170" s="160"/>
      <c r="D170" s="215"/>
      <c r="E170" s="159"/>
      <c r="F170" s="158"/>
      <c r="G170" s="190"/>
      <c r="H170" s="160"/>
      <c r="I170" s="160"/>
      <c r="J170" s="160"/>
      <c r="K170" s="160"/>
      <c r="L170" s="160"/>
      <c r="M170" s="160"/>
      <c r="N170" s="160"/>
      <c r="O170" s="160"/>
      <c r="P170" s="160"/>
      <c r="Q170" s="160"/>
      <c r="R170" s="160"/>
      <c r="S170" s="160"/>
      <c r="T170" s="160"/>
      <c r="U170" s="160"/>
      <c r="V170" s="160"/>
      <c r="W170" s="160"/>
      <c r="X170" s="160"/>
      <c r="Y170" s="160"/>
      <c r="Z170" s="160"/>
      <c r="AA170" s="160"/>
      <c r="AB170" s="160"/>
      <c r="AC170" s="160"/>
      <c r="AD170" s="160"/>
      <c r="AE170" s="160"/>
      <c r="AF170" s="160"/>
      <c r="AG170" s="160"/>
    </row>
    <row r="171" spans="1:99" ht="14.5" outlineLevel="1" thickBot="1">
      <c r="A171" s="128"/>
      <c r="B171" s="132"/>
      <c r="C171" s="132" t="s">
        <v>357</v>
      </c>
      <c r="D171" s="133"/>
      <c r="E171" s="133"/>
      <c r="F171" s="133"/>
      <c r="G171" s="128"/>
      <c r="H171" s="133"/>
      <c r="I171" s="178">
        <f>$I$1</f>
        <v>1</v>
      </c>
      <c r="J171" s="178">
        <f>$J$1</f>
        <v>2</v>
      </c>
      <c r="K171" s="133">
        <f>$K$1</f>
        <v>3</v>
      </c>
      <c r="L171" s="133">
        <f>$L$1</f>
        <v>4</v>
      </c>
      <c r="M171" s="133">
        <f>$M$1</f>
        <v>5</v>
      </c>
      <c r="N171" s="133">
        <f>$N$1</f>
        <v>6</v>
      </c>
      <c r="O171" s="133">
        <f>$O$1</f>
        <v>7</v>
      </c>
      <c r="P171" s="133">
        <f>$P$1</f>
        <v>8</v>
      </c>
      <c r="Q171" s="133">
        <f>$Q$1</f>
        <v>9</v>
      </c>
      <c r="R171" s="133">
        <f>$R$1</f>
        <v>10</v>
      </c>
      <c r="S171" s="133">
        <f>$S$1</f>
        <v>11</v>
      </c>
      <c r="T171" s="133">
        <f>$T$1</f>
        <v>12</v>
      </c>
      <c r="U171" s="133">
        <f>$U$1</f>
        <v>13</v>
      </c>
      <c r="V171" s="133">
        <f>$V$1</f>
        <v>14</v>
      </c>
      <c r="W171" s="133">
        <f>$W$1</f>
        <v>15</v>
      </c>
      <c r="X171" s="133">
        <f>$X$1</f>
        <v>16</v>
      </c>
      <c r="Y171" s="133">
        <f>$Y$1</f>
        <v>17</v>
      </c>
      <c r="Z171" s="133">
        <f>$Z$1</f>
        <v>18</v>
      </c>
      <c r="AA171" s="133">
        <f>$AA$1</f>
        <v>19</v>
      </c>
      <c r="AB171" s="133">
        <f>$AB$1</f>
        <v>20</v>
      </c>
      <c r="AC171" s="133">
        <f>$AC$1</f>
        <v>21</v>
      </c>
      <c r="AD171" s="133">
        <f>$AD$1</f>
        <v>22</v>
      </c>
      <c r="AE171" s="133">
        <f>$AE$1</f>
        <v>23</v>
      </c>
      <c r="AF171" s="133">
        <f>$AF$1</f>
        <v>24</v>
      </c>
      <c r="AG171" s="147">
        <f>$AG$1</f>
        <v>25</v>
      </c>
      <c r="AH171" s="128"/>
      <c r="AI171" s="128"/>
      <c r="AJ171" s="128"/>
      <c r="AK171" s="128"/>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128"/>
      <c r="CA171" s="128"/>
      <c r="CB171" s="128"/>
      <c r="CC171" s="128"/>
      <c r="CD171" s="128"/>
      <c r="CE171" s="128"/>
      <c r="CF171" s="128"/>
      <c r="CG171" s="128"/>
      <c r="CH171" s="128"/>
      <c r="CI171" s="128"/>
      <c r="CJ171" s="128"/>
      <c r="CK171" s="128"/>
      <c r="CL171" s="128"/>
      <c r="CM171" s="128"/>
      <c r="CN171" s="128"/>
      <c r="CO171" s="128"/>
      <c r="CP171" s="128"/>
      <c r="CQ171" s="128"/>
      <c r="CR171" s="128"/>
      <c r="CS171" s="128"/>
      <c r="CT171" s="128"/>
      <c r="CU171" s="128"/>
    </row>
    <row r="172" spans="1:99" ht="14.5" outlineLevel="1" thickBot="1">
      <c r="B172" s="186"/>
      <c r="C172" s="186" t="s">
        <v>358</v>
      </c>
      <c r="D172" s="187"/>
      <c r="E172" s="513">
        <v>0</v>
      </c>
      <c r="F172" s="186" t="s">
        <v>349</v>
      </c>
      <c r="G172" s="179"/>
      <c r="H172" s="160"/>
      <c r="I172" s="160"/>
      <c r="J172" s="160"/>
      <c r="K172" s="160"/>
      <c r="L172" s="160"/>
      <c r="M172" s="160"/>
      <c r="N172" s="160"/>
      <c r="O172" s="160"/>
      <c r="P172" s="160"/>
      <c r="Q172" s="160"/>
      <c r="R172" s="160"/>
      <c r="S172" s="160"/>
      <c r="T172" s="160"/>
      <c r="U172" s="160"/>
      <c r="V172" s="160"/>
      <c r="W172" s="160"/>
      <c r="X172" s="160"/>
      <c r="Y172" s="160"/>
      <c r="Z172" s="160"/>
      <c r="AA172" s="160"/>
      <c r="AB172" s="160"/>
      <c r="AC172" s="160"/>
      <c r="AD172" s="160"/>
      <c r="AE172" s="160"/>
      <c r="AF172" s="160"/>
      <c r="AG172" s="160"/>
    </row>
    <row r="173" spans="1:99" ht="14.5" outlineLevel="1" thickBot="1">
      <c r="B173" s="186"/>
      <c r="C173" s="186" t="s">
        <v>350</v>
      </c>
      <c r="D173" s="187"/>
      <c r="E173" s="506">
        <v>0</v>
      </c>
      <c r="F173" s="186" t="s">
        <v>210</v>
      </c>
      <c r="G173" s="213"/>
      <c r="H173" s="151"/>
      <c r="I173" s="150">
        <f>E173</f>
        <v>0</v>
      </c>
      <c r="J173" s="150">
        <f t="shared" ref="J173:W173" si="21">I173</f>
        <v>0</v>
      </c>
      <c r="K173" s="150">
        <f t="shared" si="21"/>
        <v>0</v>
      </c>
      <c r="L173" s="150">
        <f t="shared" si="21"/>
        <v>0</v>
      </c>
      <c r="M173" s="150">
        <f t="shared" si="21"/>
        <v>0</v>
      </c>
      <c r="N173" s="150">
        <f t="shared" si="21"/>
        <v>0</v>
      </c>
      <c r="O173" s="150">
        <f t="shared" si="21"/>
        <v>0</v>
      </c>
      <c r="P173" s="150">
        <f t="shared" si="21"/>
        <v>0</v>
      </c>
      <c r="Q173" s="150">
        <f t="shared" si="21"/>
        <v>0</v>
      </c>
      <c r="R173" s="150">
        <f t="shared" si="21"/>
        <v>0</v>
      </c>
      <c r="S173" s="150">
        <f t="shared" si="21"/>
        <v>0</v>
      </c>
      <c r="T173" s="150">
        <f t="shared" si="21"/>
        <v>0</v>
      </c>
      <c r="U173" s="150">
        <f t="shared" si="21"/>
        <v>0</v>
      </c>
      <c r="V173" s="150">
        <f t="shared" si="21"/>
        <v>0</v>
      </c>
      <c r="W173" s="150">
        <f t="shared" si="21"/>
        <v>0</v>
      </c>
      <c r="X173" s="150"/>
      <c r="Y173" s="150"/>
      <c r="Z173" s="150"/>
      <c r="AA173" s="150"/>
      <c r="AB173" s="150"/>
      <c r="AC173" s="150"/>
      <c r="AD173" s="150"/>
      <c r="AE173" s="150"/>
      <c r="AF173" s="150"/>
      <c r="AG173" s="150"/>
    </row>
    <row r="174" spans="1:99" ht="14.5" outlineLevel="1" thickBot="1">
      <c r="B174" s="186"/>
      <c r="C174" s="186" t="s">
        <v>351</v>
      </c>
      <c r="D174" s="187"/>
      <c r="E174" s="214">
        <f>E172*E173</f>
        <v>0</v>
      </c>
      <c r="F174" s="186" t="s">
        <v>352</v>
      </c>
      <c r="G174" s="190"/>
      <c r="H174" s="151"/>
      <c r="I174" s="150">
        <f>E172</f>
        <v>0</v>
      </c>
      <c r="J174" s="150">
        <f t="shared" ref="J174:AG174" si="22">IF(J1&lt;=$D$18,I174*(1+I176),0)</f>
        <v>0</v>
      </c>
      <c r="K174" s="150">
        <f t="shared" si="22"/>
        <v>0</v>
      </c>
      <c r="L174" s="150">
        <f t="shared" si="22"/>
        <v>0</v>
      </c>
      <c r="M174" s="150">
        <f t="shared" si="22"/>
        <v>0</v>
      </c>
      <c r="N174" s="150">
        <f t="shared" si="22"/>
        <v>0</v>
      </c>
      <c r="O174" s="150">
        <f t="shared" si="22"/>
        <v>0</v>
      </c>
      <c r="P174" s="150">
        <f t="shared" si="22"/>
        <v>0</v>
      </c>
      <c r="Q174" s="150">
        <f t="shared" si="22"/>
        <v>0</v>
      </c>
      <c r="R174" s="150">
        <f t="shared" si="22"/>
        <v>0</v>
      </c>
      <c r="S174" s="150">
        <f t="shared" si="22"/>
        <v>0</v>
      </c>
      <c r="T174" s="150">
        <f t="shared" si="22"/>
        <v>0</v>
      </c>
      <c r="U174" s="150">
        <f t="shared" si="22"/>
        <v>0</v>
      </c>
      <c r="V174" s="150">
        <f t="shared" si="22"/>
        <v>0</v>
      </c>
      <c r="W174" s="150">
        <f t="shared" si="22"/>
        <v>0</v>
      </c>
      <c r="X174" s="150">
        <f t="shared" si="22"/>
        <v>0</v>
      </c>
      <c r="Y174" s="150">
        <f t="shared" si="22"/>
        <v>0</v>
      </c>
      <c r="Z174" s="150">
        <f t="shared" si="22"/>
        <v>0</v>
      </c>
      <c r="AA174" s="150">
        <f t="shared" si="22"/>
        <v>0</v>
      </c>
      <c r="AB174" s="150">
        <f t="shared" si="22"/>
        <v>0</v>
      </c>
      <c r="AC174" s="150">
        <f t="shared" si="22"/>
        <v>0</v>
      </c>
      <c r="AD174" s="150">
        <f t="shared" si="22"/>
        <v>0</v>
      </c>
      <c r="AE174" s="150">
        <f t="shared" si="22"/>
        <v>0</v>
      </c>
      <c r="AF174" s="150">
        <f t="shared" si="22"/>
        <v>0</v>
      </c>
      <c r="AG174" s="216">
        <f t="shared" si="22"/>
        <v>0</v>
      </c>
    </row>
    <row r="175" spans="1:99" ht="14.5" outlineLevel="1" thickBot="1">
      <c r="B175" s="186"/>
      <c r="C175" s="186" t="s">
        <v>355</v>
      </c>
      <c r="D175" s="187"/>
      <c r="E175" s="138"/>
      <c r="F175" s="159"/>
      <c r="G175" s="190"/>
      <c r="H175" s="151"/>
      <c r="I175" s="150">
        <f>I173*I174</f>
        <v>0</v>
      </c>
      <c r="J175" s="150">
        <f t="shared" ref="J175:AG175" si="23">J173*J174</f>
        <v>0</v>
      </c>
      <c r="K175" s="150">
        <f t="shared" si="23"/>
        <v>0</v>
      </c>
      <c r="L175" s="150">
        <f t="shared" si="23"/>
        <v>0</v>
      </c>
      <c r="M175" s="150">
        <f t="shared" si="23"/>
        <v>0</v>
      </c>
      <c r="N175" s="150">
        <f t="shared" si="23"/>
        <v>0</v>
      </c>
      <c r="O175" s="150">
        <f t="shared" si="23"/>
        <v>0</v>
      </c>
      <c r="P175" s="150">
        <f t="shared" si="23"/>
        <v>0</v>
      </c>
      <c r="Q175" s="150">
        <f t="shared" si="23"/>
        <v>0</v>
      </c>
      <c r="R175" s="150">
        <f t="shared" si="23"/>
        <v>0</v>
      </c>
      <c r="S175" s="150">
        <f t="shared" si="23"/>
        <v>0</v>
      </c>
      <c r="T175" s="150">
        <f t="shared" si="23"/>
        <v>0</v>
      </c>
      <c r="U175" s="150">
        <f t="shared" si="23"/>
        <v>0</v>
      </c>
      <c r="V175" s="150">
        <f t="shared" si="23"/>
        <v>0</v>
      </c>
      <c r="W175" s="150">
        <f t="shared" si="23"/>
        <v>0</v>
      </c>
      <c r="X175" s="150">
        <f t="shared" si="23"/>
        <v>0</v>
      </c>
      <c r="Y175" s="150">
        <f t="shared" si="23"/>
        <v>0</v>
      </c>
      <c r="Z175" s="150">
        <f t="shared" si="23"/>
        <v>0</v>
      </c>
      <c r="AA175" s="150">
        <f t="shared" si="23"/>
        <v>0</v>
      </c>
      <c r="AB175" s="150">
        <f t="shared" si="23"/>
        <v>0</v>
      </c>
      <c r="AC175" s="150">
        <f t="shared" si="23"/>
        <v>0</v>
      </c>
      <c r="AD175" s="150">
        <f t="shared" si="23"/>
        <v>0</v>
      </c>
      <c r="AE175" s="150">
        <f t="shared" si="23"/>
        <v>0</v>
      </c>
      <c r="AF175" s="150">
        <f t="shared" si="23"/>
        <v>0</v>
      </c>
      <c r="AG175" s="216">
        <f t="shared" si="23"/>
        <v>0</v>
      </c>
    </row>
    <row r="176" spans="1:99" ht="14.5" outlineLevel="1" thickBot="1">
      <c r="B176" s="186"/>
      <c r="C176" s="186" t="s">
        <v>356</v>
      </c>
      <c r="D176" s="187"/>
      <c r="E176" s="138"/>
      <c r="F176" s="159"/>
      <c r="G176" s="190"/>
      <c r="H176" s="516"/>
      <c r="I176" s="511">
        <v>0</v>
      </c>
      <c r="J176" s="511">
        <v>0</v>
      </c>
      <c r="K176" s="511">
        <v>0</v>
      </c>
      <c r="L176" s="511">
        <v>0</v>
      </c>
      <c r="M176" s="511">
        <v>0</v>
      </c>
      <c r="N176" s="511">
        <v>0</v>
      </c>
      <c r="O176" s="511">
        <v>0</v>
      </c>
      <c r="P176" s="511">
        <v>0</v>
      </c>
      <c r="Q176" s="511">
        <v>0</v>
      </c>
      <c r="R176" s="511">
        <v>0</v>
      </c>
      <c r="S176" s="511">
        <v>0</v>
      </c>
      <c r="T176" s="511">
        <v>0</v>
      </c>
      <c r="U176" s="511">
        <v>0</v>
      </c>
      <c r="V176" s="511">
        <v>0</v>
      </c>
      <c r="W176" s="511">
        <v>0</v>
      </c>
      <c r="X176" s="511">
        <v>0</v>
      </c>
      <c r="Y176" s="511">
        <v>0</v>
      </c>
      <c r="Z176" s="511">
        <v>0</v>
      </c>
      <c r="AA176" s="511">
        <v>0</v>
      </c>
      <c r="AB176" s="511">
        <v>0</v>
      </c>
      <c r="AC176" s="511">
        <v>0</v>
      </c>
      <c r="AD176" s="511">
        <v>0</v>
      </c>
      <c r="AE176" s="511">
        <v>0</v>
      </c>
      <c r="AF176" s="511">
        <v>0</v>
      </c>
      <c r="AG176" s="511">
        <v>0</v>
      </c>
    </row>
    <row r="177" spans="1:99" ht="14.5" outlineLevel="1" thickBot="1">
      <c r="C177" s="160"/>
      <c r="D177" s="215"/>
      <c r="E177" s="159"/>
      <c r="F177" s="158"/>
      <c r="G177" s="190"/>
      <c r="H177" s="160"/>
      <c r="I177" s="160"/>
      <c r="J177" s="160"/>
      <c r="K177" s="160"/>
      <c r="L177" s="160"/>
      <c r="M177" s="160"/>
      <c r="N177" s="160"/>
      <c r="O177" s="160"/>
      <c r="P177" s="160"/>
      <c r="Q177" s="160"/>
      <c r="R177" s="160"/>
      <c r="S177" s="160"/>
      <c r="T177" s="160"/>
      <c r="U177" s="160"/>
      <c r="V177" s="160"/>
      <c r="W177" s="160"/>
      <c r="X177" s="160"/>
      <c r="Y177" s="160"/>
      <c r="Z177" s="160"/>
      <c r="AA177" s="160"/>
      <c r="AB177" s="160"/>
      <c r="AC177" s="160"/>
      <c r="AD177" s="160"/>
      <c r="AE177" s="160"/>
      <c r="AF177" s="160"/>
      <c r="AG177" s="160"/>
    </row>
    <row r="178" spans="1:99" ht="14.5" outlineLevel="1" thickBot="1">
      <c r="A178" s="128"/>
      <c r="B178" s="173"/>
      <c r="C178" s="173" t="s">
        <v>359</v>
      </c>
      <c r="D178" s="174"/>
      <c r="E178" s="174"/>
      <c r="F178" s="174"/>
      <c r="G178" s="128"/>
      <c r="H178" s="156"/>
      <c r="I178" s="156">
        <f t="shared" ref="I178:AG178" si="24">IF(I$1&lt;=$D$18,(I168+I175)*$D$219*$D$201,0)</f>
        <v>0</v>
      </c>
      <c r="J178" s="156">
        <f t="shared" si="24"/>
        <v>0</v>
      </c>
      <c r="K178" s="156">
        <f t="shared" si="24"/>
        <v>0</v>
      </c>
      <c r="L178" s="156">
        <f t="shared" si="24"/>
        <v>0</v>
      </c>
      <c r="M178" s="156">
        <f t="shared" si="24"/>
        <v>0</v>
      </c>
      <c r="N178" s="156">
        <f t="shared" si="24"/>
        <v>0</v>
      </c>
      <c r="O178" s="156">
        <f t="shared" si="24"/>
        <v>0</v>
      </c>
      <c r="P178" s="156">
        <f t="shared" si="24"/>
        <v>0</v>
      </c>
      <c r="Q178" s="156">
        <f t="shared" si="24"/>
        <v>0</v>
      </c>
      <c r="R178" s="156">
        <f t="shared" si="24"/>
        <v>0</v>
      </c>
      <c r="S178" s="156">
        <f t="shared" si="24"/>
        <v>0</v>
      </c>
      <c r="T178" s="156">
        <f t="shared" si="24"/>
        <v>0</v>
      </c>
      <c r="U178" s="156">
        <f t="shared" si="24"/>
        <v>0</v>
      </c>
      <c r="V178" s="156">
        <f t="shared" si="24"/>
        <v>0</v>
      </c>
      <c r="W178" s="156">
        <f t="shared" si="24"/>
        <v>0</v>
      </c>
      <c r="X178" s="156">
        <f t="shared" si="24"/>
        <v>0</v>
      </c>
      <c r="Y178" s="156">
        <f t="shared" si="24"/>
        <v>0</v>
      </c>
      <c r="Z178" s="156">
        <f t="shared" si="24"/>
        <v>0</v>
      </c>
      <c r="AA178" s="156">
        <f t="shared" si="24"/>
        <v>0</v>
      </c>
      <c r="AB178" s="156">
        <f t="shared" si="24"/>
        <v>0</v>
      </c>
      <c r="AC178" s="156">
        <f t="shared" si="24"/>
        <v>0</v>
      </c>
      <c r="AD178" s="156">
        <f t="shared" si="24"/>
        <v>0</v>
      </c>
      <c r="AE178" s="156">
        <f t="shared" si="24"/>
        <v>0</v>
      </c>
      <c r="AF178" s="156">
        <f t="shared" si="24"/>
        <v>0</v>
      </c>
      <c r="AG178" s="156">
        <f t="shared" si="24"/>
        <v>0</v>
      </c>
      <c r="AH178" s="128"/>
      <c r="AI178" s="128"/>
      <c r="AJ178" s="128"/>
      <c r="AK178" s="128"/>
      <c r="AL178" s="128"/>
      <c r="AM178" s="128"/>
      <c r="AN178" s="128"/>
      <c r="AO178" s="128"/>
      <c r="AP178" s="128"/>
      <c r="AQ178" s="128"/>
      <c r="AR178" s="128"/>
      <c r="AS178" s="128"/>
      <c r="AT178" s="128"/>
      <c r="AU178" s="128"/>
      <c r="AV178" s="128"/>
      <c r="AW178" s="128"/>
      <c r="AX178" s="128"/>
      <c r="AY178" s="128"/>
      <c r="AZ178" s="128"/>
      <c r="BA178" s="128"/>
      <c r="BB178" s="128"/>
      <c r="BC178" s="128"/>
      <c r="BD178" s="128"/>
      <c r="BE178" s="128"/>
      <c r="BF178" s="128"/>
      <c r="BG178" s="128"/>
      <c r="BH178" s="128"/>
      <c r="BI178" s="128"/>
      <c r="BJ178" s="128"/>
      <c r="BK178" s="128"/>
      <c r="BL178" s="128"/>
      <c r="BM178" s="128"/>
      <c r="BN178" s="128"/>
      <c r="BO178" s="128"/>
      <c r="BP178" s="128"/>
      <c r="BQ178" s="128"/>
      <c r="BR178" s="128"/>
      <c r="BS178" s="128"/>
      <c r="BT178" s="128"/>
      <c r="BU178" s="128"/>
      <c r="BV178" s="128"/>
      <c r="BW178" s="128"/>
      <c r="BX178" s="128"/>
      <c r="BY178" s="128"/>
      <c r="BZ178" s="128"/>
      <c r="CA178" s="128"/>
      <c r="CB178" s="128"/>
      <c r="CC178" s="128"/>
      <c r="CD178" s="128"/>
      <c r="CE178" s="128"/>
      <c r="CF178" s="128"/>
      <c r="CG178" s="128"/>
      <c r="CH178" s="128"/>
      <c r="CI178" s="128"/>
      <c r="CJ178" s="128"/>
      <c r="CK178" s="128"/>
      <c r="CL178" s="128"/>
      <c r="CM178" s="128"/>
      <c r="CN178" s="128"/>
      <c r="CO178" s="128"/>
      <c r="CP178" s="128"/>
      <c r="CQ178" s="128"/>
      <c r="CR178" s="128"/>
      <c r="CS178" s="128"/>
      <c r="CT178" s="128"/>
      <c r="CU178" s="128"/>
    </row>
    <row r="179" spans="1:99" ht="14.5" outlineLevel="1" thickBot="1">
      <c r="C179" s="217"/>
      <c r="D179" s="218"/>
      <c r="G179" s="128"/>
      <c r="I179" s="219"/>
      <c r="J179" s="220"/>
      <c r="K179" s="221"/>
      <c r="L179" s="221"/>
      <c r="M179" s="221"/>
      <c r="N179" s="221"/>
      <c r="O179" s="221"/>
      <c r="P179" s="221"/>
      <c r="Q179" s="221"/>
      <c r="R179" s="221"/>
      <c r="S179" s="221"/>
      <c r="T179" s="221"/>
      <c r="U179" s="221"/>
      <c r="V179" s="221"/>
      <c r="W179" s="221"/>
      <c r="X179" s="221"/>
      <c r="Y179" s="219"/>
      <c r="Z179" s="219"/>
      <c r="AA179" s="219"/>
      <c r="AB179" s="219"/>
      <c r="AC179" s="219"/>
      <c r="AD179" s="219"/>
      <c r="AE179" s="219"/>
      <c r="AF179" s="219"/>
      <c r="AG179" s="219"/>
    </row>
    <row r="180" spans="1:99" ht="14.5" outlineLevel="1" thickBot="1">
      <c r="B180" s="132"/>
      <c r="C180" s="132" t="s">
        <v>360</v>
      </c>
      <c r="D180" s="133"/>
      <c r="E180" s="222"/>
      <c r="F180" s="222"/>
      <c r="G180" s="176"/>
      <c r="H180" s="222"/>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47"/>
      <c r="AH180" s="128"/>
      <c r="AI180" s="128"/>
      <c r="AJ180" s="128"/>
      <c r="AK180" s="128"/>
      <c r="AL180" s="128"/>
      <c r="AM180" s="128"/>
      <c r="AN180" s="128"/>
      <c r="AO180" s="128"/>
      <c r="AP180" s="128"/>
      <c r="AQ180" s="128"/>
      <c r="AR180" s="128"/>
      <c r="AS180" s="128"/>
      <c r="AT180" s="128"/>
      <c r="AU180" s="128"/>
      <c r="AV180" s="128"/>
      <c r="AW180" s="128"/>
      <c r="AX180" s="128"/>
      <c r="AY180" s="128"/>
      <c r="AZ180" s="128"/>
      <c r="BA180" s="128"/>
      <c r="BB180" s="128"/>
      <c r="BC180" s="128"/>
      <c r="BD180" s="128"/>
      <c r="BE180" s="128"/>
      <c r="BF180" s="128"/>
      <c r="BG180" s="128"/>
      <c r="BH180" s="128"/>
      <c r="BI180" s="128"/>
      <c r="BJ180" s="128"/>
      <c r="BK180" s="128"/>
      <c r="BL180" s="128"/>
      <c r="BM180" s="128"/>
      <c r="BN180" s="128"/>
      <c r="BO180" s="128"/>
      <c r="BP180" s="128"/>
      <c r="BQ180" s="128"/>
      <c r="BR180" s="128"/>
      <c r="BS180" s="128"/>
      <c r="BT180" s="128"/>
      <c r="BU180" s="128"/>
      <c r="BV180" s="128"/>
      <c r="BW180" s="128"/>
      <c r="BX180" s="128"/>
      <c r="BY180" s="128"/>
      <c r="BZ180" s="128"/>
      <c r="CA180" s="128"/>
      <c r="CB180" s="128"/>
      <c r="CC180" s="128"/>
      <c r="CD180" s="128"/>
      <c r="CE180" s="128"/>
      <c r="CF180" s="128"/>
      <c r="CG180" s="128"/>
      <c r="CH180" s="128"/>
      <c r="CI180" s="128"/>
      <c r="CJ180" s="128"/>
      <c r="CK180" s="128"/>
      <c r="CL180" s="128"/>
      <c r="CM180" s="128"/>
      <c r="CN180" s="128"/>
      <c r="CO180" s="128"/>
      <c r="CP180" s="128"/>
      <c r="CQ180" s="128"/>
      <c r="CR180" s="128"/>
      <c r="CS180" s="128"/>
      <c r="CT180" s="128"/>
      <c r="CU180" s="128"/>
    </row>
    <row r="181" spans="1:99" ht="14.5" outlineLevel="1" thickBot="1">
      <c r="B181" s="186"/>
      <c r="C181" s="186" t="s">
        <v>361</v>
      </c>
      <c r="D181" s="187"/>
      <c r="E181" s="214">
        <f>2.5*D68</f>
        <v>2500</v>
      </c>
      <c r="F181" s="186" t="s">
        <v>352</v>
      </c>
      <c r="G181" s="190"/>
      <c r="H181" s="160"/>
      <c r="I181" s="160"/>
      <c r="J181" s="160"/>
      <c r="K181" s="160"/>
      <c r="L181" s="160"/>
      <c r="M181" s="160"/>
      <c r="N181" s="160"/>
      <c r="O181" s="160"/>
      <c r="P181" s="160"/>
      <c r="Q181" s="160"/>
      <c r="R181" s="160"/>
      <c r="S181" s="160"/>
      <c r="T181" s="160"/>
      <c r="U181" s="160"/>
      <c r="V181" s="160"/>
      <c r="W181" s="160"/>
      <c r="X181" s="160"/>
      <c r="Y181" s="160"/>
      <c r="Z181" s="160"/>
      <c r="AA181" s="160"/>
      <c r="AB181" s="160"/>
      <c r="AC181" s="160"/>
      <c r="AD181" s="160"/>
      <c r="AE181" s="160"/>
      <c r="AF181" s="160"/>
      <c r="AG181" s="160"/>
    </row>
    <row r="182" spans="1:99" ht="14.5" outlineLevel="1" thickBot="1">
      <c r="B182" s="186"/>
      <c r="C182" s="186" t="s">
        <v>362</v>
      </c>
      <c r="D182" s="187"/>
      <c r="E182" s="214">
        <f>3*D68</f>
        <v>3000</v>
      </c>
      <c r="F182" s="186" t="s">
        <v>352</v>
      </c>
      <c r="G182" s="190"/>
      <c r="H182" s="189"/>
      <c r="I182" s="160"/>
      <c r="J182" s="160"/>
      <c r="K182" s="160"/>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row>
    <row r="183" spans="1:99" ht="14.5" outlineLevel="1" thickBot="1">
      <c r="B183" s="186"/>
      <c r="C183" s="186" t="s">
        <v>363</v>
      </c>
      <c r="D183" s="187"/>
      <c r="E183" s="513">
        <v>1000</v>
      </c>
      <c r="F183" s="186" t="s">
        <v>352</v>
      </c>
      <c r="G183" s="190"/>
      <c r="H183" s="160"/>
    </row>
    <row r="184" spans="1:99" ht="14.5" outlineLevel="1" thickBot="1">
      <c r="B184" s="186"/>
      <c r="C184" s="186" t="s">
        <v>323</v>
      </c>
      <c r="D184" s="187"/>
      <c r="E184" s="513"/>
      <c r="F184" s="186" t="s">
        <v>352</v>
      </c>
      <c r="G184" s="190"/>
      <c r="H184" s="160"/>
    </row>
    <row r="185" spans="1:99" ht="14.5" outlineLevel="1" thickBot="1">
      <c r="B185" s="186"/>
      <c r="C185" s="187" t="s">
        <v>364</v>
      </c>
      <c r="D185" s="223"/>
      <c r="E185" s="160"/>
      <c r="F185" s="128"/>
      <c r="G185" s="179"/>
      <c r="H185" s="160"/>
      <c r="I185" s="511">
        <v>0.02</v>
      </c>
      <c r="J185" s="511">
        <v>0.02</v>
      </c>
      <c r="K185" s="511">
        <v>0.02</v>
      </c>
      <c r="L185" s="511">
        <v>0.02</v>
      </c>
      <c r="M185" s="511">
        <v>0.02</v>
      </c>
      <c r="N185" s="511">
        <v>0.02</v>
      </c>
      <c r="O185" s="511">
        <v>0.02</v>
      </c>
      <c r="P185" s="511">
        <v>0.02</v>
      </c>
      <c r="Q185" s="511">
        <v>0.02</v>
      </c>
      <c r="R185" s="511">
        <v>0.02</v>
      </c>
      <c r="S185" s="511">
        <v>0.02</v>
      </c>
      <c r="T185" s="511">
        <v>0.02</v>
      </c>
      <c r="U185" s="511">
        <v>0.02</v>
      </c>
      <c r="V185" s="511">
        <v>0.02</v>
      </c>
      <c r="W185" s="511">
        <v>0.02</v>
      </c>
      <c r="X185" s="511">
        <v>0.02</v>
      </c>
      <c r="Y185" s="511">
        <v>0.02</v>
      </c>
      <c r="Z185" s="511">
        <v>0.02</v>
      </c>
      <c r="AA185" s="511">
        <v>0.02</v>
      </c>
      <c r="AB185" s="511">
        <v>0.02</v>
      </c>
      <c r="AC185" s="511">
        <v>0.02</v>
      </c>
      <c r="AD185" s="511">
        <v>0.02</v>
      </c>
      <c r="AE185" s="511">
        <v>0.02</v>
      </c>
      <c r="AF185" s="511">
        <v>0.02</v>
      </c>
      <c r="AG185" s="511">
        <v>0.02</v>
      </c>
      <c r="AH185" s="128"/>
      <c r="AI185" s="128"/>
      <c r="AJ185" s="128"/>
      <c r="AK185" s="128"/>
      <c r="AL185" s="128"/>
      <c r="AM185" s="128"/>
      <c r="AN185" s="128"/>
      <c r="AO185" s="128"/>
      <c r="AP185" s="128"/>
      <c r="AQ185" s="128"/>
      <c r="AR185" s="128"/>
      <c r="AS185" s="128"/>
      <c r="AT185" s="128"/>
      <c r="AU185" s="128"/>
      <c r="AV185" s="128"/>
      <c r="AW185" s="128"/>
      <c r="AX185" s="128"/>
      <c r="AY185" s="128"/>
      <c r="AZ185" s="128"/>
      <c r="BA185" s="128"/>
      <c r="BB185" s="128"/>
      <c r="BC185" s="128"/>
      <c r="BD185" s="128"/>
      <c r="BE185" s="128"/>
      <c r="BF185" s="128"/>
      <c r="BG185" s="128"/>
      <c r="BH185" s="128"/>
      <c r="BI185" s="128"/>
      <c r="BJ185" s="128"/>
      <c r="BK185" s="128"/>
      <c r="BL185" s="128"/>
      <c r="BM185" s="128"/>
      <c r="BN185" s="128"/>
      <c r="BO185" s="128"/>
      <c r="BP185" s="128"/>
      <c r="BQ185" s="128"/>
      <c r="BR185" s="128"/>
      <c r="BS185" s="128"/>
      <c r="BT185" s="128"/>
      <c r="BU185" s="128"/>
      <c r="BV185" s="128"/>
      <c r="BW185" s="128"/>
      <c r="BX185" s="128"/>
      <c r="BY185" s="128"/>
      <c r="BZ185" s="128"/>
      <c r="CA185" s="128"/>
      <c r="CB185" s="128"/>
      <c r="CC185" s="128"/>
      <c r="CD185" s="128"/>
      <c r="CE185" s="128"/>
      <c r="CF185" s="128"/>
      <c r="CG185" s="128"/>
      <c r="CH185" s="128"/>
      <c r="CI185" s="128"/>
      <c r="CJ185" s="128"/>
      <c r="CK185" s="128"/>
      <c r="CL185" s="128"/>
      <c r="CM185" s="128"/>
      <c r="CN185" s="128"/>
      <c r="CO185" s="128"/>
      <c r="CP185" s="128"/>
      <c r="CQ185" s="128"/>
      <c r="CR185" s="128"/>
      <c r="CS185" s="128"/>
      <c r="CT185" s="128"/>
      <c r="CU185" s="128"/>
    </row>
    <row r="186" spans="1:99" ht="14.5" outlineLevel="1" thickBot="1">
      <c r="B186" s="173"/>
      <c r="C186" s="173" t="s">
        <v>365</v>
      </c>
      <c r="D186" s="174"/>
      <c r="F186" s="128"/>
      <c r="G186" s="128"/>
      <c r="H186" s="224"/>
      <c r="I186" s="156">
        <f>IF(I$1&lt;=$D$18, SUM(E181:E184)*(1+I185)*$D$201,0)</f>
        <v>6630</v>
      </c>
      <c r="J186" s="156">
        <f t="shared" ref="J186:AG186" si="25">IF(J$1&lt;=$D$18, I186*(1+J185),0)</f>
        <v>6762.6</v>
      </c>
      <c r="K186" s="156">
        <f t="shared" si="25"/>
        <v>6897.8520000000008</v>
      </c>
      <c r="L186" s="156">
        <f t="shared" si="25"/>
        <v>7035.809040000001</v>
      </c>
      <c r="M186" s="156">
        <f t="shared" si="25"/>
        <v>7176.5252208000011</v>
      </c>
      <c r="N186" s="156">
        <f t="shared" si="25"/>
        <v>7320.0557252160015</v>
      </c>
      <c r="O186" s="156">
        <f t="shared" si="25"/>
        <v>7466.456839720322</v>
      </c>
      <c r="P186" s="156">
        <f t="shared" si="25"/>
        <v>7615.7859765147286</v>
      </c>
      <c r="Q186" s="156">
        <f t="shared" si="25"/>
        <v>7768.1016960450233</v>
      </c>
      <c r="R186" s="156">
        <f t="shared" si="25"/>
        <v>7923.4637299659244</v>
      </c>
      <c r="S186" s="156">
        <f t="shared" si="25"/>
        <v>8081.9330045652432</v>
      </c>
      <c r="T186" s="156">
        <f t="shared" si="25"/>
        <v>8243.5716646565488</v>
      </c>
      <c r="U186" s="156">
        <f t="shared" si="25"/>
        <v>8408.4430979496792</v>
      </c>
      <c r="V186" s="156">
        <f t="shared" si="25"/>
        <v>8576.6119599086724</v>
      </c>
      <c r="W186" s="156">
        <f t="shared" si="25"/>
        <v>8748.1441991068459</v>
      </c>
      <c r="X186" s="156">
        <f t="shared" si="25"/>
        <v>8923.1070830889821</v>
      </c>
      <c r="Y186" s="156">
        <f t="shared" si="25"/>
        <v>9101.5692247507614</v>
      </c>
      <c r="Z186" s="156">
        <f t="shared" si="25"/>
        <v>9283.6006092457774</v>
      </c>
      <c r="AA186" s="156">
        <f t="shared" si="25"/>
        <v>9469.2726214306931</v>
      </c>
      <c r="AB186" s="156">
        <f t="shared" si="25"/>
        <v>9658.6580738593075</v>
      </c>
      <c r="AC186" s="156">
        <f t="shared" si="25"/>
        <v>9851.8312353364945</v>
      </c>
      <c r="AD186" s="156">
        <f t="shared" si="25"/>
        <v>10048.867860043225</v>
      </c>
      <c r="AE186" s="156">
        <f t="shared" si="25"/>
        <v>10249.84521724409</v>
      </c>
      <c r="AF186" s="156">
        <f t="shared" si="25"/>
        <v>10454.842121588972</v>
      </c>
      <c r="AG186" s="156">
        <f t="shared" si="25"/>
        <v>10663.938964020752</v>
      </c>
      <c r="AH186" s="128"/>
      <c r="AI186" s="128"/>
      <c r="AJ186" s="128"/>
      <c r="AK186" s="128"/>
      <c r="AL186" s="128"/>
      <c r="AM186" s="128"/>
      <c r="AN186" s="128"/>
      <c r="AO186" s="128"/>
      <c r="AP186" s="128"/>
      <c r="AQ186" s="128"/>
      <c r="AR186" s="128"/>
      <c r="AS186" s="128"/>
      <c r="AT186" s="128"/>
      <c r="AU186" s="128"/>
      <c r="AV186" s="128"/>
      <c r="AW186" s="128"/>
      <c r="AX186" s="128"/>
      <c r="AY186" s="128"/>
      <c r="AZ186" s="128"/>
      <c r="BA186" s="128"/>
      <c r="BB186" s="128"/>
      <c r="BC186" s="128"/>
      <c r="BD186" s="128"/>
      <c r="BE186" s="128"/>
      <c r="BF186" s="128"/>
      <c r="BG186" s="128"/>
      <c r="BH186" s="128"/>
      <c r="BI186" s="128"/>
      <c r="BJ186" s="128"/>
      <c r="BK186" s="128"/>
      <c r="BL186" s="128"/>
      <c r="BM186" s="128"/>
      <c r="BN186" s="128"/>
      <c r="BO186" s="128"/>
      <c r="BP186" s="128"/>
      <c r="BQ186" s="128"/>
      <c r="BR186" s="128"/>
      <c r="BS186" s="128"/>
      <c r="BT186" s="128"/>
      <c r="BU186" s="128"/>
      <c r="BV186" s="128"/>
      <c r="BW186" s="128"/>
      <c r="BX186" s="128"/>
      <c r="BY186" s="128"/>
      <c r="BZ186" s="128"/>
      <c r="CA186" s="128"/>
      <c r="CB186" s="128"/>
      <c r="CC186" s="128"/>
      <c r="CD186" s="128"/>
      <c r="CE186" s="128"/>
      <c r="CF186" s="128"/>
      <c r="CG186" s="128"/>
      <c r="CH186" s="128"/>
      <c r="CI186" s="128"/>
      <c r="CJ186" s="128"/>
      <c r="CK186" s="128"/>
      <c r="CL186" s="128"/>
      <c r="CM186" s="128"/>
      <c r="CN186" s="128"/>
      <c r="CO186" s="128"/>
      <c r="CP186" s="128"/>
      <c r="CQ186" s="128"/>
      <c r="CR186" s="128"/>
      <c r="CS186" s="128"/>
      <c r="CT186" s="128"/>
      <c r="CU186" s="128"/>
    </row>
    <row r="187" spans="1:99" ht="14.5" outlineLevel="1" thickBot="1">
      <c r="C187" s="160"/>
      <c r="D187" s="215"/>
      <c r="E187" s="160"/>
      <c r="F187" s="160"/>
      <c r="G187" s="128"/>
      <c r="H187" s="225"/>
      <c r="I187" s="225"/>
      <c r="J187" s="225"/>
      <c r="K187" s="225"/>
      <c r="L187" s="225"/>
      <c r="M187" s="225"/>
      <c r="N187" s="225"/>
      <c r="O187" s="225"/>
      <c r="P187" s="225"/>
      <c r="Q187" s="225"/>
      <c r="R187" s="225"/>
      <c r="S187" s="225"/>
      <c r="T187" s="225"/>
      <c r="U187" s="225"/>
      <c r="V187" s="225"/>
      <c r="W187" s="225"/>
      <c r="X187" s="225"/>
      <c r="Y187" s="225"/>
      <c r="Z187" s="225"/>
      <c r="AA187" s="225"/>
      <c r="AB187" s="225"/>
      <c r="AC187" s="225"/>
      <c r="AD187" s="225"/>
      <c r="AE187" s="225"/>
      <c r="AF187" s="225"/>
      <c r="AG187" s="225"/>
    </row>
    <row r="188" spans="1:99" ht="14.5" outlineLevel="1" thickBot="1">
      <c r="B188" s="132"/>
      <c r="C188" s="132" t="s">
        <v>366</v>
      </c>
      <c r="D188" s="132"/>
      <c r="E188" s="133"/>
      <c r="F188" s="133"/>
      <c r="G188" s="226"/>
      <c r="H188" s="178"/>
      <c r="I188" s="178">
        <f>$I$1</f>
        <v>1</v>
      </c>
      <c r="J188" s="178">
        <f>$J$1</f>
        <v>2</v>
      </c>
      <c r="K188" s="178">
        <f>$K$1</f>
        <v>3</v>
      </c>
      <c r="L188" s="178">
        <f>$L$1</f>
        <v>4</v>
      </c>
      <c r="M188" s="178">
        <f>$M$1</f>
        <v>5</v>
      </c>
      <c r="N188" s="178">
        <f>$N$1</f>
        <v>6</v>
      </c>
      <c r="O188" s="178">
        <f>$O$1</f>
        <v>7</v>
      </c>
      <c r="P188" s="178">
        <f>$P$1</f>
        <v>8</v>
      </c>
      <c r="Q188" s="178">
        <f>$Q$1</f>
        <v>9</v>
      </c>
      <c r="R188" s="178">
        <f>$R$1</f>
        <v>10</v>
      </c>
      <c r="S188" s="178">
        <f>$S$1</f>
        <v>11</v>
      </c>
      <c r="T188" s="178">
        <f>$T$1</f>
        <v>12</v>
      </c>
      <c r="U188" s="178">
        <f>$U$1</f>
        <v>13</v>
      </c>
      <c r="V188" s="178">
        <f>$V$1</f>
        <v>14</v>
      </c>
      <c r="W188" s="178">
        <f>$W$1</f>
        <v>15</v>
      </c>
      <c r="X188" s="178">
        <f>$X$1</f>
        <v>16</v>
      </c>
      <c r="Y188" s="178">
        <f>$Y$1</f>
        <v>17</v>
      </c>
      <c r="Z188" s="178">
        <f>$Z$1</f>
        <v>18</v>
      </c>
      <c r="AA188" s="178">
        <f>$AA$1</f>
        <v>19</v>
      </c>
      <c r="AB188" s="178">
        <f>$AB$1</f>
        <v>20</v>
      </c>
      <c r="AC188" s="178">
        <f>$AC$1</f>
        <v>21</v>
      </c>
      <c r="AD188" s="178">
        <f>$AD$1</f>
        <v>22</v>
      </c>
      <c r="AE188" s="178">
        <f>$AE$1</f>
        <v>23</v>
      </c>
      <c r="AF188" s="178">
        <f>$AF$1</f>
        <v>24</v>
      </c>
      <c r="AG188" s="178">
        <f>$AG$1</f>
        <v>25</v>
      </c>
    </row>
    <row r="189" spans="1:99" ht="14.5" outlineLevel="1" thickBot="1">
      <c r="B189" s="186"/>
      <c r="C189" s="186" t="s">
        <v>367</v>
      </c>
      <c r="D189" s="212"/>
      <c r="E189" s="513">
        <v>0</v>
      </c>
      <c r="F189" s="186" t="s">
        <v>368</v>
      </c>
      <c r="G189" s="128"/>
      <c r="H189" s="516"/>
      <c r="I189" s="511">
        <v>0</v>
      </c>
      <c r="J189" s="511">
        <v>0</v>
      </c>
      <c r="K189" s="511">
        <v>0</v>
      </c>
      <c r="L189" s="511">
        <v>0</v>
      </c>
      <c r="M189" s="511">
        <v>0</v>
      </c>
      <c r="N189" s="511">
        <v>0</v>
      </c>
      <c r="O189" s="511">
        <v>0</v>
      </c>
      <c r="P189" s="511">
        <v>0</v>
      </c>
      <c r="Q189" s="511">
        <v>0</v>
      </c>
      <c r="R189" s="511">
        <v>0</v>
      </c>
      <c r="S189" s="511">
        <v>0</v>
      </c>
      <c r="T189" s="511">
        <v>0</v>
      </c>
      <c r="U189" s="511">
        <v>0</v>
      </c>
      <c r="V189" s="511">
        <v>0</v>
      </c>
      <c r="W189" s="511">
        <v>0</v>
      </c>
      <c r="X189" s="511">
        <v>0</v>
      </c>
      <c r="Y189" s="511">
        <v>0</v>
      </c>
      <c r="Z189" s="511">
        <v>0</v>
      </c>
      <c r="AA189" s="511">
        <v>0</v>
      </c>
      <c r="AB189" s="511">
        <v>0</v>
      </c>
      <c r="AC189" s="511">
        <v>0</v>
      </c>
      <c r="AD189" s="511">
        <v>0</v>
      </c>
      <c r="AE189" s="511">
        <v>0</v>
      </c>
      <c r="AF189" s="511">
        <v>0</v>
      </c>
      <c r="AG189" s="511">
        <v>0</v>
      </c>
    </row>
    <row r="190" spans="1:99" ht="14.5" outlineLevel="1" thickBot="1">
      <c r="B190" s="186"/>
      <c r="C190" s="186" t="s">
        <v>369</v>
      </c>
      <c r="D190" s="187"/>
      <c r="E190" s="214"/>
      <c r="F190" s="186" t="s">
        <v>368</v>
      </c>
      <c r="G190" s="128"/>
      <c r="H190" s="151"/>
      <c r="I190" s="150">
        <f>E189</f>
        <v>0</v>
      </c>
      <c r="J190" s="150">
        <f t="shared" ref="J190:AG190" si="26">IF(I1&lt;=$D$18,I190*(1+J189),0)</f>
        <v>0</v>
      </c>
      <c r="K190" s="150">
        <f t="shared" si="26"/>
        <v>0</v>
      </c>
      <c r="L190" s="150">
        <f t="shared" si="26"/>
        <v>0</v>
      </c>
      <c r="M190" s="150">
        <f t="shared" si="26"/>
        <v>0</v>
      </c>
      <c r="N190" s="150">
        <f t="shared" si="26"/>
        <v>0</v>
      </c>
      <c r="O190" s="150">
        <f t="shared" si="26"/>
        <v>0</v>
      </c>
      <c r="P190" s="150">
        <f t="shared" si="26"/>
        <v>0</v>
      </c>
      <c r="Q190" s="150">
        <f t="shared" si="26"/>
        <v>0</v>
      </c>
      <c r="R190" s="150">
        <f t="shared" si="26"/>
        <v>0</v>
      </c>
      <c r="S190" s="150">
        <f t="shared" si="26"/>
        <v>0</v>
      </c>
      <c r="T190" s="150">
        <f t="shared" si="26"/>
        <v>0</v>
      </c>
      <c r="U190" s="150">
        <f t="shared" si="26"/>
        <v>0</v>
      </c>
      <c r="V190" s="150">
        <f t="shared" si="26"/>
        <v>0</v>
      </c>
      <c r="W190" s="150">
        <f t="shared" si="26"/>
        <v>0</v>
      </c>
      <c r="X190" s="150">
        <f t="shared" si="26"/>
        <v>0</v>
      </c>
      <c r="Y190" s="150">
        <f t="shared" si="26"/>
        <v>0</v>
      </c>
      <c r="Z190" s="150">
        <f t="shared" si="26"/>
        <v>0</v>
      </c>
      <c r="AA190" s="150">
        <f t="shared" si="26"/>
        <v>0</v>
      </c>
      <c r="AB190" s="150">
        <f t="shared" si="26"/>
        <v>0</v>
      </c>
      <c r="AC190" s="150">
        <f t="shared" si="26"/>
        <v>0</v>
      </c>
      <c r="AD190" s="150">
        <f t="shared" si="26"/>
        <v>0</v>
      </c>
      <c r="AE190" s="150">
        <f t="shared" si="26"/>
        <v>0</v>
      </c>
      <c r="AF190" s="150">
        <f t="shared" si="26"/>
        <v>0</v>
      </c>
      <c r="AG190" s="150">
        <f t="shared" si="26"/>
        <v>0</v>
      </c>
    </row>
    <row r="191" spans="1:99" ht="14.5" outlineLevel="1" thickBot="1">
      <c r="B191" s="186"/>
      <c r="C191" s="186" t="s">
        <v>370</v>
      </c>
      <c r="D191" s="187"/>
      <c r="E191" s="214"/>
      <c r="F191" s="186" t="s">
        <v>352</v>
      </c>
      <c r="G191" s="128"/>
      <c r="H191" s="151"/>
      <c r="I191" s="150">
        <f t="shared" ref="I191:AG191" si="27">(I220-I196)*I190</f>
        <v>0</v>
      </c>
      <c r="J191" s="150">
        <f t="shared" si="27"/>
        <v>0</v>
      </c>
      <c r="K191" s="150">
        <f t="shared" si="27"/>
        <v>0</v>
      </c>
      <c r="L191" s="150">
        <f t="shared" si="27"/>
        <v>0</v>
      </c>
      <c r="M191" s="150">
        <f t="shared" si="27"/>
        <v>0</v>
      </c>
      <c r="N191" s="150">
        <f t="shared" si="27"/>
        <v>0</v>
      </c>
      <c r="O191" s="150">
        <f t="shared" si="27"/>
        <v>0</v>
      </c>
      <c r="P191" s="150">
        <f t="shared" si="27"/>
        <v>0</v>
      </c>
      <c r="Q191" s="150">
        <f t="shared" si="27"/>
        <v>0</v>
      </c>
      <c r="R191" s="150">
        <f t="shared" si="27"/>
        <v>0</v>
      </c>
      <c r="S191" s="150">
        <f t="shared" si="27"/>
        <v>0</v>
      </c>
      <c r="T191" s="150">
        <f t="shared" si="27"/>
        <v>0</v>
      </c>
      <c r="U191" s="150">
        <f t="shared" si="27"/>
        <v>0</v>
      </c>
      <c r="V191" s="150">
        <f t="shared" si="27"/>
        <v>0</v>
      </c>
      <c r="W191" s="150">
        <f t="shared" si="27"/>
        <v>0</v>
      </c>
      <c r="X191" s="150">
        <f t="shared" si="27"/>
        <v>0</v>
      </c>
      <c r="Y191" s="150">
        <f t="shared" si="27"/>
        <v>0</v>
      </c>
      <c r="Z191" s="150">
        <f t="shared" si="27"/>
        <v>0</v>
      </c>
      <c r="AA191" s="150">
        <f t="shared" si="27"/>
        <v>0</v>
      </c>
      <c r="AB191" s="150">
        <f t="shared" si="27"/>
        <v>0</v>
      </c>
      <c r="AC191" s="150">
        <f t="shared" si="27"/>
        <v>0</v>
      </c>
      <c r="AD191" s="150">
        <f t="shared" si="27"/>
        <v>0</v>
      </c>
      <c r="AE191" s="150">
        <f t="shared" si="27"/>
        <v>0</v>
      </c>
      <c r="AF191" s="150">
        <f t="shared" si="27"/>
        <v>0</v>
      </c>
      <c r="AG191" s="150">
        <f t="shared" si="27"/>
        <v>0</v>
      </c>
    </row>
    <row r="192" spans="1:99" ht="14.5" outlineLevel="1" thickBot="1">
      <c r="B192" s="186"/>
      <c r="C192" s="186" t="s">
        <v>555</v>
      </c>
      <c r="D192" s="187" t="s">
        <v>556</v>
      </c>
      <c r="E192" s="514">
        <v>0</v>
      </c>
      <c r="F192" s="227" t="s">
        <v>352</v>
      </c>
      <c r="G192" s="128"/>
      <c r="H192" s="516"/>
      <c r="I192" s="511">
        <v>0</v>
      </c>
      <c r="J192" s="511">
        <v>0</v>
      </c>
      <c r="K192" s="511">
        <v>0</v>
      </c>
      <c r="L192" s="511">
        <v>0</v>
      </c>
      <c r="M192" s="511">
        <v>0</v>
      </c>
      <c r="N192" s="511">
        <v>0</v>
      </c>
      <c r="O192" s="511">
        <v>0</v>
      </c>
      <c r="P192" s="511">
        <v>0</v>
      </c>
      <c r="Q192" s="511">
        <v>0</v>
      </c>
      <c r="R192" s="511">
        <v>0</v>
      </c>
      <c r="S192" s="511">
        <v>0</v>
      </c>
      <c r="T192" s="511">
        <v>0</v>
      </c>
      <c r="U192" s="511">
        <v>0</v>
      </c>
      <c r="V192" s="511">
        <v>0</v>
      </c>
      <c r="W192" s="511">
        <v>0</v>
      </c>
      <c r="X192" s="511">
        <v>0</v>
      </c>
      <c r="Y192" s="511">
        <v>0</v>
      </c>
      <c r="Z192" s="511">
        <v>0</v>
      </c>
      <c r="AA192" s="511">
        <v>0</v>
      </c>
      <c r="AB192" s="511">
        <v>0</v>
      </c>
      <c r="AC192" s="511">
        <v>0</v>
      </c>
      <c r="AD192" s="511">
        <v>0</v>
      </c>
      <c r="AE192" s="511">
        <v>0</v>
      </c>
      <c r="AF192" s="511">
        <v>0</v>
      </c>
      <c r="AG192" s="511">
        <v>0</v>
      </c>
    </row>
    <row r="193" spans="2:35" s="153" customFormat="1" ht="14.5" outlineLevel="1" thickBot="1">
      <c r="B193" s="173"/>
      <c r="C193" s="173" t="s">
        <v>371</v>
      </c>
      <c r="D193" s="173"/>
      <c r="E193" s="174"/>
      <c r="G193" s="184"/>
      <c r="H193" s="156"/>
      <c r="I193" s="156">
        <f t="shared" ref="I193:AG193" si="28">IF(I$1&lt;=$D$18,($E$192*(1+I192)+I191)*$D$201,0)</f>
        <v>0</v>
      </c>
      <c r="J193" s="156">
        <f t="shared" si="28"/>
        <v>0</v>
      </c>
      <c r="K193" s="156">
        <f t="shared" si="28"/>
        <v>0</v>
      </c>
      <c r="L193" s="156">
        <f t="shared" si="28"/>
        <v>0</v>
      </c>
      <c r="M193" s="156">
        <f t="shared" si="28"/>
        <v>0</v>
      </c>
      <c r="N193" s="156">
        <f t="shared" si="28"/>
        <v>0</v>
      </c>
      <c r="O193" s="156">
        <f t="shared" si="28"/>
        <v>0</v>
      </c>
      <c r="P193" s="156">
        <f t="shared" si="28"/>
        <v>0</v>
      </c>
      <c r="Q193" s="156">
        <f t="shared" si="28"/>
        <v>0</v>
      </c>
      <c r="R193" s="156">
        <f t="shared" si="28"/>
        <v>0</v>
      </c>
      <c r="S193" s="156">
        <f t="shared" si="28"/>
        <v>0</v>
      </c>
      <c r="T193" s="156">
        <f t="shared" si="28"/>
        <v>0</v>
      </c>
      <c r="U193" s="156">
        <f t="shared" si="28"/>
        <v>0</v>
      </c>
      <c r="V193" s="156">
        <f t="shared" si="28"/>
        <v>0</v>
      </c>
      <c r="W193" s="156">
        <f t="shared" si="28"/>
        <v>0</v>
      </c>
      <c r="X193" s="156">
        <f t="shared" si="28"/>
        <v>0</v>
      </c>
      <c r="Y193" s="156">
        <f t="shared" si="28"/>
        <v>0</v>
      </c>
      <c r="Z193" s="156">
        <f t="shared" si="28"/>
        <v>0</v>
      </c>
      <c r="AA193" s="156">
        <f t="shared" si="28"/>
        <v>0</v>
      </c>
      <c r="AB193" s="156">
        <f t="shared" si="28"/>
        <v>0</v>
      </c>
      <c r="AC193" s="156">
        <f t="shared" si="28"/>
        <v>0</v>
      </c>
      <c r="AD193" s="156">
        <f t="shared" si="28"/>
        <v>0</v>
      </c>
      <c r="AE193" s="156">
        <f t="shared" si="28"/>
        <v>0</v>
      </c>
      <c r="AF193" s="156">
        <f t="shared" si="28"/>
        <v>0</v>
      </c>
      <c r="AG193" s="156">
        <f t="shared" si="28"/>
        <v>0</v>
      </c>
    </row>
    <row r="194" spans="2:35" s="128" customFormat="1" ht="14.5" outlineLevel="1" thickBot="1">
      <c r="C194" s="184"/>
      <c r="H194" s="228"/>
      <c r="I194" s="228"/>
      <c r="J194" s="228"/>
      <c r="K194" s="228"/>
      <c r="L194" s="228"/>
      <c r="M194" s="228"/>
      <c r="N194" s="228"/>
      <c r="O194" s="228"/>
      <c r="P194" s="228"/>
      <c r="Q194" s="228"/>
      <c r="R194" s="228"/>
      <c r="S194" s="228"/>
      <c r="T194" s="228"/>
      <c r="U194" s="228"/>
      <c r="V194" s="228"/>
      <c r="W194" s="228"/>
      <c r="X194" s="228"/>
      <c r="Y194" s="228"/>
      <c r="Z194" s="228"/>
      <c r="AA194" s="228"/>
      <c r="AB194" s="228"/>
      <c r="AC194" s="228"/>
      <c r="AD194" s="228"/>
      <c r="AE194" s="228"/>
      <c r="AF194" s="228"/>
      <c r="AG194" s="228"/>
    </row>
    <row r="195" spans="2:35" ht="14.5" outlineLevel="1" thickBot="1">
      <c r="B195" s="132"/>
      <c r="C195" s="132" t="s">
        <v>372</v>
      </c>
      <c r="D195" s="132"/>
      <c r="E195" s="133"/>
      <c r="F195" s="133"/>
      <c r="G195" s="226"/>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row>
    <row r="196" spans="2:35" ht="14.5" outlineLevel="1" thickBot="1">
      <c r="B196" s="186"/>
      <c r="C196" s="186" t="s">
        <v>557</v>
      </c>
      <c r="D196" s="186" t="s">
        <v>558</v>
      </c>
      <c r="E196" s="515">
        <v>0.01</v>
      </c>
      <c r="F196" s="186" t="s">
        <v>309</v>
      </c>
      <c r="G196" s="128"/>
      <c r="H196" s="229"/>
      <c r="I196" s="230">
        <f>E196</f>
        <v>0.01</v>
      </c>
      <c r="J196" s="231">
        <f>I196</f>
        <v>0.01</v>
      </c>
      <c r="K196" s="231">
        <f t="shared" ref="K196:W196" si="29">J196</f>
        <v>0.01</v>
      </c>
      <c r="L196" s="231">
        <f t="shared" si="29"/>
        <v>0.01</v>
      </c>
      <c r="M196" s="231">
        <f t="shared" si="29"/>
        <v>0.01</v>
      </c>
      <c r="N196" s="231">
        <f t="shared" si="29"/>
        <v>0.01</v>
      </c>
      <c r="O196" s="231">
        <f t="shared" si="29"/>
        <v>0.01</v>
      </c>
      <c r="P196" s="231">
        <f t="shared" si="29"/>
        <v>0.01</v>
      </c>
      <c r="Q196" s="231">
        <f t="shared" si="29"/>
        <v>0.01</v>
      </c>
      <c r="R196" s="231">
        <f t="shared" si="29"/>
        <v>0.01</v>
      </c>
      <c r="S196" s="231">
        <f t="shared" si="29"/>
        <v>0.01</v>
      </c>
      <c r="T196" s="231">
        <f t="shared" si="29"/>
        <v>0.01</v>
      </c>
      <c r="U196" s="231">
        <f t="shared" si="29"/>
        <v>0.01</v>
      </c>
      <c r="V196" s="231">
        <f t="shared" si="29"/>
        <v>0.01</v>
      </c>
      <c r="W196" s="231">
        <f t="shared" si="29"/>
        <v>0.01</v>
      </c>
      <c r="X196" s="231"/>
      <c r="Y196" s="231"/>
      <c r="Z196" s="231"/>
      <c r="AA196" s="231"/>
      <c r="AB196" s="231"/>
      <c r="AC196" s="231"/>
      <c r="AD196" s="231"/>
      <c r="AE196" s="231"/>
      <c r="AF196" s="231"/>
      <c r="AG196" s="231"/>
    </row>
    <row r="197" spans="2:35" ht="14.5" outlineLevel="1" thickBot="1">
      <c r="C197" s="160"/>
      <c r="D197" s="160"/>
      <c r="E197" s="160"/>
      <c r="F197" s="160"/>
      <c r="G197" s="128"/>
    </row>
    <row r="198" spans="2:35" ht="14.5" outlineLevel="1" thickBot="1">
      <c r="B198" s="186"/>
      <c r="C198" s="186" t="s">
        <v>373</v>
      </c>
      <c r="D198" s="187"/>
      <c r="E198" s="514">
        <v>1.0000000000000001E-5</v>
      </c>
      <c r="F198" s="227" t="s">
        <v>368</v>
      </c>
      <c r="G198" s="128"/>
      <c r="H198" s="516"/>
      <c r="I198" s="511">
        <v>0</v>
      </c>
      <c r="J198" s="511">
        <v>2.3E-2</v>
      </c>
      <c r="K198" s="511">
        <v>5.0000000000000001E-3</v>
      </c>
      <c r="L198" s="511">
        <v>-1.7999999999999999E-2</v>
      </c>
      <c r="M198" s="511">
        <v>0</v>
      </c>
      <c r="N198" s="511">
        <v>0</v>
      </c>
      <c r="O198" s="511">
        <v>0.01</v>
      </c>
      <c r="P198" s="511">
        <v>5.0000000000000001E-3</v>
      </c>
      <c r="Q198" s="511">
        <v>0</v>
      </c>
      <c r="R198" s="511">
        <v>0</v>
      </c>
      <c r="S198" s="511">
        <v>0</v>
      </c>
      <c r="T198" s="511">
        <v>0</v>
      </c>
      <c r="U198" s="511">
        <v>0</v>
      </c>
      <c r="V198" s="511">
        <v>0</v>
      </c>
      <c r="W198" s="511">
        <v>0</v>
      </c>
      <c r="X198" s="511">
        <v>0</v>
      </c>
      <c r="Y198" s="511">
        <v>0.05</v>
      </c>
      <c r="Z198" s="511">
        <v>0</v>
      </c>
      <c r="AA198" s="511">
        <v>0</v>
      </c>
      <c r="AB198" s="511">
        <v>0</v>
      </c>
      <c r="AC198" s="511">
        <v>0</v>
      </c>
      <c r="AD198" s="511">
        <v>0</v>
      </c>
      <c r="AE198" s="511">
        <v>0</v>
      </c>
      <c r="AF198" s="511">
        <v>0</v>
      </c>
      <c r="AG198" s="511">
        <v>0</v>
      </c>
    </row>
    <row r="199" spans="2:35" ht="14.5" outlineLevel="1" thickBot="1">
      <c r="B199" s="186"/>
      <c r="C199" s="173" t="s">
        <v>374</v>
      </c>
      <c r="D199" s="173"/>
      <c r="E199" s="174"/>
      <c r="G199" s="128"/>
      <c r="H199" s="156"/>
      <c r="I199" s="156">
        <f>IF(I$1&lt;=$D$18,E198*I196*$D$201,0)</f>
        <v>1.0000000000000001E-7</v>
      </c>
      <c r="J199" s="156">
        <f t="shared" ref="J199:W199" si="30">IF(I$1&lt;=$D$18,(I199/I196)*(1+J198)*J196*$D$201,0)</f>
        <v>1.0230000000000001E-7</v>
      </c>
      <c r="K199" s="156">
        <f t="shared" si="30"/>
        <v>1.0281149999999999E-7</v>
      </c>
      <c r="L199" s="156">
        <f t="shared" si="30"/>
        <v>1.00960893E-7</v>
      </c>
      <c r="M199" s="156">
        <f t="shared" si="30"/>
        <v>1.00960893E-7</v>
      </c>
      <c r="N199" s="156">
        <f t="shared" si="30"/>
        <v>1.00960893E-7</v>
      </c>
      <c r="O199" s="156">
        <f t="shared" si="30"/>
        <v>1.0197050193000001E-7</v>
      </c>
      <c r="P199" s="156">
        <f t="shared" si="30"/>
        <v>1.0248035443964999E-7</v>
      </c>
      <c r="Q199" s="156">
        <f t="shared" si="30"/>
        <v>1.0248035443964999E-7</v>
      </c>
      <c r="R199" s="156">
        <f t="shared" si="30"/>
        <v>1.0248035443964999E-7</v>
      </c>
      <c r="S199" s="156">
        <f t="shared" si="30"/>
        <v>1.0248035443964999E-7</v>
      </c>
      <c r="T199" s="156">
        <f t="shared" si="30"/>
        <v>1.0248035443964999E-7</v>
      </c>
      <c r="U199" s="156">
        <f t="shared" si="30"/>
        <v>1.0248035443964999E-7</v>
      </c>
      <c r="V199" s="156">
        <f t="shared" si="30"/>
        <v>1.0248035443964999E-7</v>
      </c>
      <c r="W199" s="156">
        <f t="shared" si="30"/>
        <v>1.0248035443964999E-7</v>
      </c>
      <c r="X199" s="156">
        <f t="shared" ref="X199:AG199" si="31">IFERROR(0,IF(W$1&lt;=$D$18,(W199/W196)*(1+X198)*X196*$D$201,0))</f>
        <v>0</v>
      </c>
      <c r="Y199" s="156">
        <f t="shared" si="31"/>
        <v>0</v>
      </c>
      <c r="Z199" s="156">
        <f t="shared" si="31"/>
        <v>0</v>
      </c>
      <c r="AA199" s="156">
        <f t="shared" si="31"/>
        <v>0</v>
      </c>
      <c r="AB199" s="156">
        <f t="shared" si="31"/>
        <v>0</v>
      </c>
      <c r="AC199" s="156">
        <f t="shared" si="31"/>
        <v>0</v>
      </c>
      <c r="AD199" s="156">
        <f t="shared" si="31"/>
        <v>0</v>
      </c>
      <c r="AE199" s="156">
        <f t="shared" si="31"/>
        <v>0</v>
      </c>
      <c r="AF199" s="156">
        <f t="shared" si="31"/>
        <v>0</v>
      </c>
      <c r="AG199" s="156">
        <f t="shared" si="31"/>
        <v>0</v>
      </c>
    </row>
    <row r="200" spans="2:35" ht="14.5" outlineLevel="1" thickBot="1">
      <c r="C200" s="153"/>
      <c r="D200" s="153"/>
      <c r="E200" s="153"/>
      <c r="F200" s="153"/>
      <c r="G200" s="184"/>
      <c r="H200" s="195"/>
      <c r="I200" s="232"/>
      <c r="J200" s="202"/>
      <c r="K200" s="202"/>
      <c r="L200" s="202"/>
      <c r="M200" s="202"/>
      <c r="N200" s="202"/>
      <c r="O200" s="202"/>
      <c r="P200" s="202"/>
      <c r="Q200" s="202"/>
      <c r="R200" s="202"/>
      <c r="S200" s="202"/>
      <c r="T200" s="202"/>
      <c r="U200" s="202"/>
      <c r="V200" s="202"/>
      <c r="W200" s="202"/>
      <c r="X200" s="202"/>
      <c r="Y200" s="202"/>
      <c r="Z200" s="202"/>
      <c r="AA200" s="202"/>
      <c r="AB200" s="202"/>
      <c r="AC200" s="202"/>
      <c r="AD200" s="202"/>
      <c r="AE200" s="202"/>
      <c r="AF200" s="202"/>
      <c r="AG200" s="202"/>
    </row>
    <row r="201" spans="2:35" ht="14.5" outlineLevel="1" thickBot="1">
      <c r="B201" s="233"/>
      <c r="C201" s="234" t="s">
        <v>375</v>
      </c>
      <c r="D201" s="507">
        <v>1</v>
      </c>
      <c r="E201" s="148" t="s">
        <v>261</v>
      </c>
      <c r="G201" s="184"/>
      <c r="H201" s="195"/>
      <c r="I201" s="202"/>
      <c r="J201" s="202"/>
      <c r="K201" s="202"/>
      <c r="L201" s="202"/>
      <c r="M201" s="202"/>
      <c r="N201" s="202"/>
      <c r="O201" s="202"/>
      <c r="P201" s="202"/>
      <c r="Q201" s="202"/>
      <c r="R201" s="202"/>
      <c r="S201" s="202"/>
      <c r="T201" s="202"/>
      <c r="U201" s="202"/>
      <c r="V201" s="202"/>
      <c r="W201" s="202"/>
      <c r="X201" s="202"/>
      <c r="Y201" s="202"/>
      <c r="Z201" s="202"/>
      <c r="AA201" s="202"/>
      <c r="AB201" s="202"/>
      <c r="AC201" s="202"/>
      <c r="AD201" s="202"/>
      <c r="AE201" s="202"/>
      <c r="AF201" s="202"/>
      <c r="AG201" s="202"/>
    </row>
    <row r="202" spans="2:35" outlineLevel="1">
      <c r="C202" s="153"/>
      <c r="D202" s="153"/>
      <c r="E202" s="153"/>
      <c r="F202" s="153"/>
      <c r="G202" s="184"/>
      <c r="H202" s="195"/>
      <c r="I202" s="202"/>
      <c r="J202" s="202"/>
      <c r="K202" s="202"/>
      <c r="L202" s="202"/>
      <c r="M202" s="202"/>
      <c r="N202" s="202"/>
      <c r="O202" s="202"/>
      <c r="P202" s="202"/>
      <c r="Q202" s="202"/>
      <c r="R202" s="202"/>
      <c r="S202" s="202"/>
      <c r="T202" s="202"/>
      <c r="U202" s="202"/>
      <c r="V202" s="202"/>
      <c r="W202" s="202"/>
      <c r="X202" s="202"/>
      <c r="Y202" s="202"/>
      <c r="Z202" s="202"/>
      <c r="AA202" s="202"/>
      <c r="AB202" s="202"/>
      <c r="AC202" s="202"/>
      <c r="AD202" s="202"/>
      <c r="AE202" s="202"/>
      <c r="AF202" s="202"/>
      <c r="AG202" s="202"/>
    </row>
    <row r="203" spans="2:35" s="197" customFormat="1" ht="20.25" customHeight="1" outlineLevel="1">
      <c r="B203" s="235"/>
      <c r="C203" s="236" t="s">
        <v>376</v>
      </c>
      <c r="D203" s="237"/>
      <c r="E203" s="237"/>
      <c r="F203" s="237"/>
      <c r="G203" s="238"/>
      <c r="H203" s="239"/>
      <c r="I203" s="240">
        <f>SUM(I178+I186+I193+I199)</f>
        <v>6630.0000000999999</v>
      </c>
      <c r="J203" s="240">
        <f t="shared" ref="J203:AG203" si="32">SUM(J178+J186+J193+J199)</f>
        <v>6762.6000001023003</v>
      </c>
      <c r="K203" s="240">
        <f t="shared" si="32"/>
        <v>6897.8520001028119</v>
      </c>
      <c r="L203" s="240">
        <f t="shared" si="32"/>
        <v>7035.8090401009622</v>
      </c>
      <c r="M203" s="240">
        <f t="shared" si="32"/>
        <v>7176.5252209009623</v>
      </c>
      <c r="N203" s="240">
        <f t="shared" si="32"/>
        <v>7320.0557253169627</v>
      </c>
      <c r="O203" s="240">
        <f t="shared" si="32"/>
        <v>7466.4568398222927</v>
      </c>
      <c r="P203" s="240">
        <f t="shared" si="32"/>
        <v>7615.7859766172087</v>
      </c>
      <c r="Q203" s="240">
        <f t="shared" si="32"/>
        <v>7768.1016961475034</v>
      </c>
      <c r="R203" s="240">
        <f t="shared" si="32"/>
        <v>7923.4637300684044</v>
      </c>
      <c r="S203" s="240">
        <f t="shared" si="32"/>
        <v>8081.9330046677233</v>
      </c>
      <c r="T203" s="240">
        <f t="shared" si="32"/>
        <v>8243.5716647590289</v>
      </c>
      <c r="U203" s="240">
        <f t="shared" si="32"/>
        <v>8408.4430980521593</v>
      </c>
      <c r="V203" s="240">
        <f t="shared" si="32"/>
        <v>8576.6119600111524</v>
      </c>
      <c r="W203" s="240">
        <f t="shared" si="32"/>
        <v>8748.144199209326</v>
      </c>
      <c r="X203" s="240">
        <f t="shared" si="32"/>
        <v>8923.1070830889821</v>
      </c>
      <c r="Y203" s="240">
        <f t="shared" si="32"/>
        <v>9101.5692247507614</v>
      </c>
      <c r="Z203" s="240">
        <f t="shared" si="32"/>
        <v>9283.6006092457774</v>
      </c>
      <c r="AA203" s="240">
        <f t="shared" si="32"/>
        <v>9469.2726214306931</v>
      </c>
      <c r="AB203" s="240">
        <f t="shared" si="32"/>
        <v>9658.6580738593075</v>
      </c>
      <c r="AC203" s="240">
        <f>SUM(AC178+AC186+AC193+AC199)</f>
        <v>9851.8312353364945</v>
      </c>
      <c r="AD203" s="240">
        <f t="shared" si="32"/>
        <v>10048.867860043225</v>
      </c>
      <c r="AE203" s="240">
        <f t="shared" si="32"/>
        <v>10249.84521724409</v>
      </c>
      <c r="AF203" s="240">
        <f t="shared" si="32"/>
        <v>10454.842121588972</v>
      </c>
      <c r="AG203" s="240">
        <f t="shared" si="32"/>
        <v>10663.938964020752</v>
      </c>
    </row>
    <row r="204" spans="2:35" ht="14.5" outlineLevel="1" thickBot="1">
      <c r="C204" s="153"/>
      <c r="D204" s="153"/>
      <c r="E204" s="153"/>
      <c r="F204" s="153"/>
      <c r="G204" s="184"/>
      <c r="H204" s="241"/>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row>
    <row r="205" spans="2:35" s="248" customFormat="1" ht="20.5" thickBot="1">
      <c r="B205" s="243"/>
      <c r="C205" s="244" t="s">
        <v>377</v>
      </c>
      <c r="D205" s="244"/>
      <c r="E205" s="244"/>
      <c r="F205" s="244"/>
      <c r="G205" s="245"/>
      <c r="H205" s="246">
        <f>H148+H203</f>
        <v>62303.235714285714</v>
      </c>
      <c r="I205" s="247">
        <f>I148+I203</f>
        <v>6630.0000000999999</v>
      </c>
      <c r="J205" s="247">
        <f t="shared" ref="J205:AG205" si="33">J148+J203</f>
        <v>6762.6000001023003</v>
      </c>
      <c r="K205" s="247">
        <f t="shared" si="33"/>
        <v>6897.8520001028119</v>
      </c>
      <c r="L205" s="247">
        <f t="shared" si="33"/>
        <v>7035.8090401009622</v>
      </c>
      <c r="M205" s="247">
        <f t="shared" si="33"/>
        <v>7176.5252209009623</v>
      </c>
      <c r="N205" s="247">
        <f t="shared" si="33"/>
        <v>7320.0557253169627</v>
      </c>
      <c r="O205" s="247">
        <f t="shared" si="33"/>
        <v>7466.4568398222927</v>
      </c>
      <c r="P205" s="247">
        <f t="shared" si="33"/>
        <v>7615.7859766172087</v>
      </c>
      <c r="Q205" s="247">
        <f t="shared" si="33"/>
        <v>7768.1016961475034</v>
      </c>
      <c r="R205" s="247">
        <f t="shared" si="33"/>
        <v>7923.4637300684044</v>
      </c>
      <c r="S205" s="247">
        <f t="shared" si="33"/>
        <v>8081.9330046677233</v>
      </c>
      <c r="T205" s="247">
        <f t="shared" si="33"/>
        <v>8243.5716647590289</v>
      </c>
      <c r="U205" s="247">
        <f t="shared" si="33"/>
        <v>8408.4430980521593</v>
      </c>
      <c r="V205" s="247">
        <f t="shared" si="33"/>
        <v>8576.6119600111524</v>
      </c>
      <c r="W205" s="247">
        <f t="shared" si="33"/>
        <v>14853.223418372811</v>
      </c>
      <c r="X205" s="247">
        <f t="shared" si="33"/>
        <v>8923.1070830889821</v>
      </c>
      <c r="Y205" s="247">
        <f t="shared" si="33"/>
        <v>9101.5692247507614</v>
      </c>
      <c r="Z205" s="247">
        <f t="shared" si="33"/>
        <v>9283.6006092457774</v>
      </c>
      <c r="AA205" s="247">
        <f t="shared" si="33"/>
        <v>9469.2726214306931</v>
      </c>
      <c r="AB205" s="247">
        <f t="shared" si="33"/>
        <v>9658.6580738593075</v>
      </c>
      <c r="AC205" s="247">
        <f t="shared" si="33"/>
        <v>9851.8312353364945</v>
      </c>
      <c r="AD205" s="247">
        <f t="shared" si="33"/>
        <v>10048.867860043225</v>
      </c>
      <c r="AE205" s="247">
        <f t="shared" si="33"/>
        <v>10249.84521724409</v>
      </c>
      <c r="AF205" s="247">
        <f t="shared" si="33"/>
        <v>10454.842121588972</v>
      </c>
      <c r="AG205" s="247">
        <f t="shared" si="33"/>
        <v>10663.938964020752</v>
      </c>
    </row>
    <row r="206" spans="2:35" ht="14.5" thickBot="1">
      <c r="C206" s="153"/>
      <c r="D206" s="153"/>
      <c r="E206" s="153"/>
      <c r="F206" s="153"/>
      <c r="G206" s="184"/>
      <c r="H206" s="195"/>
      <c r="I206" s="202"/>
      <c r="J206" s="202"/>
      <c r="K206" s="202"/>
      <c r="L206" s="202"/>
      <c r="M206" s="202"/>
      <c r="N206" s="202"/>
      <c r="O206" s="202"/>
      <c r="P206" s="202"/>
      <c r="Q206" s="202"/>
      <c r="R206" s="202"/>
      <c r="S206" s="202"/>
      <c r="T206" s="202"/>
      <c r="U206" s="202"/>
      <c r="V206" s="202"/>
      <c r="W206" s="202"/>
      <c r="X206" s="202"/>
      <c r="Y206" s="202"/>
      <c r="Z206" s="202"/>
      <c r="AA206" s="202"/>
      <c r="AB206" s="202"/>
      <c r="AC206" s="202"/>
      <c r="AD206" s="202"/>
      <c r="AE206" s="202"/>
      <c r="AF206" s="202"/>
      <c r="AG206" s="202"/>
    </row>
    <row r="207" spans="2:35" ht="14.5" thickBot="1">
      <c r="B207" s="249"/>
      <c r="C207" s="250"/>
      <c r="D207" s="250"/>
      <c r="E207" s="250"/>
      <c r="F207" s="250"/>
      <c r="G207" s="251"/>
      <c r="H207" s="252"/>
      <c r="I207" s="253"/>
      <c r="J207" s="253"/>
      <c r="K207" s="253"/>
      <c r="L207" s="253"/>
      <c r="M207" s="253"/>
      <c r="N207" s="253"/>
      <c r="O207" s="253"/>
      <c r="P207" s="253"/>
      <c r="Q207" s="253"/>
      <c r="R207" s="253"/>
      <c r="S207" s="253"/>
      <c r="T207" s="253"/>
      <c r="U207" s="253"/>
      <c r="V207" s="253"/>
      <c r="W207" s="253"/>
      <c r="X207" s="253"/>
      <c r="Y207" s="253"/>
      <c r="Z207" s="253"/>
      <c r="AA207" s="253"/>
      <c r="AB207" s="253"/>
      <c r="AC207" s="253"/>
      <c r="AD207" s="253"/>
      <c r="AE207" s="253"/>
      <c r="AF207" s="253"/>
      <c r="AG207" s="253"/>
      <c r="AH207" s="249"/>
      <c r="AI207" s="249"/>
    </row>
    <row r="208" spans="2:35" ht="23.5" thickBot="1">
      <c r="B208" s="254"/>
      <c r="C208" s="255" t="s">
        <v>378</v>
      </c>
      <c r="D208" s="256"/>
      <c r="E208" s="256"/>
      <c r="F208" s="256"/>
      <c r="G208" s="256"/>
      <c r="H208" s="256"/>
      <c r="I208" s="256"/>
      <c r="J208" s="256"/>
      <c r="K208" s="256"/>
      <c r="L208" s="256"/>
      <c r="M208" s="256"/>
      <c r="N208" s="256"/>
      <c r="O208" s="256"/>
      <c r="P208" s="256"/>
      <c r="Q208" s="256"/>
      <c r="R208" s="256"/>
      <c r="S208" s="256"/>
      <c r="T208" s="256"/>
      <c r="U208" s="256"/>
      <c r="V208" s="256"/>
      <c r="W208" s="256"/>
      <c r="X208" s="256"/>
      <c r="Y208" s="256"/>
      <c r="Z208" s="256"/>
      <c r="AA208" s="256"/>
      <c r="AB208" s="256"/>
      <c r="AC208" s="256"/>
      <c r="AD208" s="256"/>
      <c r="AE208" s="256"/>
      <c r="AF208" s="256"/>
      <c r="AG208" s="256"/>
    </row>
    <row r="209" spans="2:99" ht="14.5" outlineLevel="1" thickBot="1">
      <c r="B209" s="249"/>
      <c r="C209" s="250"/>
      <c r="D209" s="250"/>
      <c r="E209" s="250"/>
      <c r="F209" s="250"/>
      <c r="G209" s="251"/>
      <c r="H209" s="252"/>
      <c r="I209" s="253"/>
      <c r="J209" s="253"/>
      <c r="K209" s="253"/>
      <c r="L209" s="253"/>
      <c r="M209" s="253"/>
      <c r="N209" s="253"/>
      <c r="O209" s="253"/>
      <c r="P209" s="253"/>
      <c r="Q209" s="253"/>
      <c r="R209" s="253"/>
      <c r="S209" s="253"/>
      <c r="T209" s="253"/>
      <c r="U209" s="253"/>
      <c r="V209" s="253"/>
      <c r="W209" s="253"/>
      <c r="X209" s="253"/>
      <c r="Y209" s="253"/>
      <c r="Z209" s="253"/>
      <c r="AA209" s="253"/>
      <c r="AB209" s="253"/>
      <c r="AC209" s="253"/>
      <c r="AD209" s="253"/>
      <c r="AE209" s="253"/>
      <c r="AF209" s="253"/>
      <c r="AG209" s="253"/>
    </row>
    <row r="210" spans="2:99" ht="14.5" outlineLevel="1" thickBot="1">
      <c r="B210" s="249"/>
      <c r="C210" s="249"/>
      <c r="D210" s="249"/>
      <c r="E210" s="249"/>
      <c r="F210" s="249"/>
      <c r="G210" s="257"/>
      <c r="H210" s="249"/>
      <c r="I210" s="258"/>
      <c r="J210" s="258"/>
      <c r="K210" s="258"/>
      <c r="L210" s="258"/>
      <c r="M210" s="258"/>
      <c r="N210" s="258"/>
      <c r="O210" s="258"/>
      <c r="P210" s="258"/>
      <c r="Q210" s="258"/>
      <c r="R210" s="258"/>
      <c r="S210" s="258"/>
      <c r="T210" s="258"/>
      <c r="U210" s="258"/>
      <c r="V210" s="258"/>
      <c r="W210" s="258"/>
      <c r="X210" s="258"/>
      <c r="Y210" s="258"/>
      <c r="Z210" s="258"/>
      <c r="AA210" s="258"/>
      <c r="AB210" s="258"/>
      <c r="AC210" s="249"/>
      <c r="AD210" s="249"/>
      <c r="AE210" s="249"/>
      <c r="AF210" s="249"/>
      <c r="AG210" s="249"/>
    </row>
    <row r="211" spans="2:99" ht="23" outlineLevel="1">
      <c r="B211" s="259"/>
      <c r="C211" s="260" t="s">
        <v>379</v>
      </c>
      <c r="D211" s="261"/>
      <c r="E211" s="261"/>
      <c r="F211" s="261"/>
      <c r="G211" s="128"/>
      <c r="H211" s="262"/>
      <c r="I211" s="262"/>
      <c r="J211" s="262"/>
      <c r="K211" s="263">
        <f>$K$1</f>
        <v>3</v>
      </c>
      <c r="L211" s="263">
        <f>$L$1</f>
        <v>4</v>
      </c>
      <c r="M211" s="263">
        <f>$M$1</f>
        <v>5</v>
      </c>
      <c r="N211" s="263">
        <f>$N$1</f>
        <v>6</v>
      </c>
      <c r="O211" s="263">
        <f>$O$1</f>
        <v>7</v>
      </c>
      <c r="P211" s="263">
        <f>$P$1</f>
        <v>8</v>
      </c>
      <c r="Q211" s="263">
        <f>$Q$1</f>
        <v>9</v>
      </c>
      <c r="R211" s="263">
        <f>$R$1</f>
        <v>10</v>
      </c>
      <c r="S211" s="263">
        <f>$S$1</f>
        <v>11</v>
      </c>
      <c r="T211" s="263">
        <f>$T$1</f>
        <v>12</v>
      </c>
      <c r="U211" s="263">
        <f>$U$1</f>
        <v>13</v>
      </c>
      <c r="V211" s="263">
        <f>$V$1</f>
        <v>14</v>
      </c>
      <c r="W211" s="263">
        <f>$W$1</f>
        <v>15</v>
      </c>
      <c r="X211" s="263">
        <f>$X$1</f>
        <v>16</v>
      </c>
      <c r="Y211" s="263">
        <f>$Y$1</f>
        <v>17</v>
      </c>
      <c r="Z211" s="263">
        <f>$Z$1</f>
        <v>18</v>
      </c>
      <c r="AA211" s="263">
        <f>$AA$1</f>
        <v>19</v>
      </c>
      <c r="AB211" s="263">
        <f>$AB$1</f>
        <v>20</v>
      </c>
      <c r="AC211" s="263">
        <f>$AC$1</f>
        <v>21</v>
      </c>
      <c r="AD211" s="263">
        <f>$AD$1</f>
        <v>22</v>
      </c>
      <c r="AE211" s="263">
        <f>$AE$1</f>
        <v>23</v>
      </c>
      <c r="AF211" s="263">
        <f>$AF$1</f>
        <v>24</v>
      </c>
      <c r="AG211" s="263">
        <f>$AG$1</f>
        <v>25</v>
      </c>
    </row>
    <row r="212" spans="2:99" ht="14.5" outlineLevel="1" thickBot="1">
      <c r="C212" s="153"/>
      <c r="D212" s="153"/>
      <c r="E212" s="153"/>
      <c r="F212" s="153"/>
      <c r="G212" s="184"/>
      <c r="H212" s="195"/>
      <c r="I212" s="202"/>
      <c r="J212" s="202"/>
      <c r="K212" s="202"/>
      <c r="L212" s="202"/>
      <c r="M212" s="202"/>
      <c r="N212" s="202"/>
      <c r="O212" s="202"/>
      <c r="P212" s="202"/>
      <c r="Q212" s="202"/>
      <c r="R212" s="202"/>
      <c r="S212" s="202"/>
      <c r="T212" s="202"/>
      <c r="U212" s="202"/>
      <c r="V212" s="202"/>
      <c r="W212" s="202"/>
      <c r="X212" s="202"/>
      <c r="Y212" s="202"/>
      <c r="Z212" s="202"/>
      <c r="AA212" s="202"/>
      <c r="AB212" s="202"/>
      <c r="AC212" s="202"/>
      <c r="AD212" s="202"/>
      <c r="AE212" s="202"/>
      <c r="AF212" s="202"/>
      <c r="AG212" s="202"/>
    </row>
    <row r="213" spans="2:99" ht="14.5" outlineLevel="1" thickBot="1">
      <c r="B213" s="132"/>
      <c r="C213" s="132" t="s">
        <v>380</v>
      </c>
      <c r="D213" s="153"/>
      <c r="E213" s="153"/>
      <c r="F213" s="184"/>
      <c r="G213" s="184"/>
      <c r="H213" s="264"/>
      <c r="I213" s="265"/>
      <c r="J213" s="265"/>
      <c r="K213" s="265"/>
      <c r="L213" s="265"/>
      <c r="M213" s="265"/>
      <c r="N213" s="265"/>
      <c r="O213" s="265"/>
      <c r="P213" s="265"/>
      <c r="Q213" s="265"/>
      <c r="R213" s="265"/>
      <c r="S213" s="265"/>
      <c r="T213" s="265"/>
      <c r="U213" s="265"/>
      <c r="V213" s="265"/>
      <c r="W213" s="265"/>
      <c r="X213" s="265"/>
      <c r="Y213" s="265"/>
      <c r="Z213" s="265"/>
      <c r="AA213" s="265"/>
      <c r="AB213" s="265"/>
      <c r="AC213" s="265"/>
      <c r="AD213" s="265"/>
      <c r="AE213" s="265"/>
      <c r="AF213" s="265"/>
      <c r="AG213" s="265"/>
      <c r="AH213" s="128"/>
      <c r="AI213" s="128"/>
      <c r="AJ213" s="128"/>
      <c r="AK213" s="128"/>
      <c r="AL213" s="128"/>
      <c r="AM213" s="128"/>
      <c r="AN213" s="128"/>
      <c r="AO213" s="128"/>
      <c r="AP213" s="128"/>
      <c r="AQ213" s="128"/>
      <c r="AR213" s="128"/>
      <c r="AS213" s="128"/>
      <c r="AT213" s="128"/>
      <c r="AU213" s="128"/>
      <c r="AV213" s="128"/>
      <c r="AW213" s="128"/>
      <c r="AX213" s="128"/>
      <c r="AY213" s="128"/>
      <c r="AZ213" s="128"/>
      <c r="BA213" s="128"/>
      <c r="BB213" s="128"/>
      <c r="BC213" s="128"/>
      <c r="BD213" s="128"/>
      <c r="BE213" s="128"/>
      <c r="BF213" s="128"/>
      <c r="BG213" s="128"/>
      <c r="BH213" s="128"/>
      <c r="BI213" s="128"/>
      <c r="BJ213" s="128"/>
      <c r="BK213" s="128"/>
      <c r="BL213" s="128"/>
      <c r="BM213" s="128"/>
      <c r="BN213" s="128"/>
      <c r="BO213" s="128"/>
      <c r="BP213" s="128"/>
      <c r="BQ213" s="128"/>
      <c r="BR213" s="128"/>
      <c r="BS213" s="128"/>
      <c r="BT213" s="128"/>
      <c r="BU213" s="128"/>
      <c r="BV213" s="128"/>
      <c r="BW213" s="128"/>
      <c r="BX213" s="128"/>
      <c r="BY213" s="128"/>
      <c r="BZ213" s="128"/>
      <c r="CA213" s="128"/>
      <c r="CB213" s="128"/>
      <c r="CC213" s="128"/>
      <c r="CD213" s="128"/>
      <c r="CE213" s="128"/>
      <c r="CF213" s="128"/>
      <c r="CG213" s="128"/>
      <c r="CH213" s="128"/>
      <c r="CI213" s="128"/>
      <c r="CJ213" s="128"/>
      <c r="CK213" s="128"/>
      <c r="CL213" s="128"/>
      <c r="CM213" s="128"/>
      <c r="CN213" s="128"/>
      <c r="CO213" s="128"/>
      <c r="CP213" s="128"/>
      <c r="CQ213" s="128"/>
      <c r="CR213" s="128"/>
      <c r="CS213" s="128"/>
      <c r="CT213" s="128"/>
      <c r="CU213" s="128"/>
    </row>
    <row r="214" spans="2:99" ht="14.5" outlineLevel="1" thickBot="1">
      <c r="B214" s="186"/>
      <c r="C214" s="186" t="s">
        <v>381</v>
      </c>
      <c r="D214" s="166">
        <f>E82*E85</f>
        <v>147220.77562499998</v>
      </c>
      <c r="E214" s="186" t="s">
        <v>309</v>
      </c>
      <c r="F214" s="128"/>
      <c r="G214" s="266"/>
      <c r="H214" s="267"/>
      <c r="AH214" s="128"/>
      <c r="AI214" s="128"/>
      <c r="AJ214" s="128"/>
      <c r="AK214" s="128"/>
      <c r="AL214" s="128"/>
      <c r="AM214" s="128"/>
      <c r="AN214" s="128"/>
      <c r="AO214" s="128"/>
      <c r="AP214" s="128"/>
      <c r="AQ214" s="128"/>
      <c r="AR214" s="128"/>
      <c r="AS214" s="128"/>
      <c r="AT214" s="128"/>
      <c r="AU214" s="128"/>
      <c r="AV214" s="128"/>
      <c r="AW214" s="128"/>
      <c r="AX214" s="128"/>
      <c r="AY214" s="128"/>
      <c r="AZ214" s="128"/>
      <c r="BA214" s="128"/>
      <c r="BB214" s="128"/>
      <c r="BC214" s="128"/>
      <c r="BD214" s="128"/>
      <c r="BE214" s="128"/>
      <c r="BF214" s="128"/>
      <c r="BG214" s="128"/>
      <c r="BH214" s="128"/>
      <c r="BI214" s="128"/>
      <c r="BJ214" s="128"/>
      <c r="BK214" s="128"/>
      <c r="BL214" s="128"/>
      <c r="BM214" s="128"/>
      <c r="BN214" s="128"/>
      <c r="BO214" s="128"/>
      <c r="BP214" s="128"/>
      <c r="BQ214" s="128"/>
      <c r="BR214" s="128"/>
      <c r="BS214" s="128"/>
      <c r="BT214" s="128"/>
      <c r="BU214" s="128"/>
      <c r="BV214" s="128"/>
      <c r="BW214" s="128"/>
      <c r="BX214" s="128"/>
      <c r="BY214" s="128"/>
      <c r="BZ214" s="128"/>
      <c r="CA214" s="128"/>
      <c r="CB214" s="128"/>
      <c r="CC214" s="128"/>
      <c r="CD214" s="128"/>
      <c r="CE214" s="128"/>
      <c r="CF214" s="128"/>
      <c r="CG214" s="128"/>
      <c r="CH214" s="128"/>
      <c r="CI214" s="128"/>
      <c r="CJ214" s="128"/>
      <c r="CK214" s="128"/>
      <c r="CL214" s="128"/>
      <c r="CM214" s="128"/>
      <c r="CN214" s="128"/>
      <c r="CO214" s="128"/>
      <c r="CP214" s="128"/>
      <c r="CQ214" s="128"/>
      <c r="CR214" s="128"/>
      <c r="CS214" s="128"/>
      <c r="CT214" s="128"/>
      <c r="CU214" s="128"/>
    </row>
    <row r="215" spans="2:99" ht="14.5" outlineLevel="1" thickBot="1">
      <c r="B215" s="186"/>
      <c r="C215" s="186" t="s">
        <v>382</v>
      </c>
      <c r="D215" s="268">
        <f>E77</f>
        <v>6.0000000000000001E-3</v>
      </c>
      <c r="E215" s="186" t="s">
        <v>383</v>
      </c>
      <c r="F215" s="128"/>
      <c r="G215" s="266"/>
      <c r="H215" s="151"/>
      <c r="I215" s="150">
        <f>D214</f>
        <v>147220.77562499998</v>
      </c>
      <c r="J215" s="150">
        <f t="shared" ref="J215:AG215" si="34">IF(J1&lt;=$D$18,IFERROR($D$214*(1-$D$215)^I1,0),0)</f>
        <v>146337.45097124999</v>
      </c>
      <c r="K215" s="150">
        <f t="shared" si="34"/>
        <v>145459.42626542249</v>
      </c>
      <c r="L215" s="150">
        <f t="shared" si="34"/>
        <v>144586.66970782995</v>
      </c>
      <c r="M215" s="150">
        <f t="shared" si="34"/>
        <v>143719.14968958296</v>
      </c>
      <c r="N215" s="150">
        <f t="shared" si="34"/>
        <v>142856.83479144549</v>
      </c>
      <c r="O215" s="150">
        <f t="shared" si="34"/>
        <v>141999.69378269682</v>
      </c>
      <c r="P215" s="150">
        <f t="shared" si="34"/>
        <v>141147.69562000062</v>
      </c>
      <c r="Q215" s="150">
        <f t="shared" si="34"/>
        <v>140300.80944628062</v>
      </c>
      <c r="R215" s="150">
        <f t="shared" si="34"/>
        <v>139459.00458960293</v>
      </c>
      <c r="S215" s="150">
        <f t="shared" si="34"/>
        <v>138622.25056206534</v>
      </c>
      <c r="T215" s="150">
        <f t="shared" si="34"/>
        <v>137790.51705869293</v>
      </c>
      <c r="U215" s="150">
        <f t="shared" si="34"/>
        <v>136963.7739563408</v>
      </c>
      <c r="V215" s="150">
        <f t="shared" si="34"/>
        <v>136141.99131260274</v>
      </c>
      <c r="W215" s="150">
        <f t="shared" si="34"/>
        <v>135325.13936472713</v>
      </c>
      <c r="X215" s="150">
        <f t="shared" si="34"/>
        <v>134513.18852853877</v>
      </c>
      <c r="Y215" s="150">
        <f t="shared" si="34"/>
        <v>133706.10939736755</v>
      </c>
      <c r="Z215" s="150">
        <f t="shared" si="34"/>
        <v>132903.87274098332</v>
      </c>
      <c r="AA215" s="150">
        <f t="shared" si="34"/>
        <v>132106.44950453742</v>
      </c>
      <c r="AB215" s="150">
        <f t="shared" si="34"/>
        <v>131313.81080751019</v>
      </c>
      <c r="AC215" s="150">
        <f t="shared" si="34"/>
        <v>130525.92794266516</v>
      </c>
      <c r="AD215" s="150">
        <f t="shared" si="34"/>
        <v>129742.77237500917</v>
      </c>
      <c r="AE215" s="150">
        <f t="shared" si="34"/>
        <v>128964.31574075912</v>
      </c>
      <c r="AF215" s="150">
        <f t="shared" si="34"/>
        <v>128190.52984631456</v>
      </c>
      <c r="AG215" s="150">
        <f t="shared" si="34"/>
        <v>127421.38666723667</v>
      </c>
      <c r="AH215" s="128"/>
      <c r="AI215" s="128"/>
      <c r="AJ215" s="128"/>
      <c r="AK215" s="128"/>
      <c r="AL215" s="128"/>
      <c r="AM215" s="128"/>
      <c r="AN215" s="128"/>
      <c r="AO215" s="128"/>
      <c r="AP215" s="128"/>
      <c r="AQ215" s="128"/>
      <c r="AR215" s="128"/>
      <c r="AS215" s="128"/>
      <c r="AT215" s="128"/>
      <c r="AU215" s="128"/>
      <c r="AV215" s="128"/>
      <c r="AW215" s="128"/>
      <c r="AX215" s="128"/>
      <c r="AY215" s="128"/>
      <c r="AZ215" s="128"/>
      <c r="BA215" s="128"/>
      <c r="BB215" s="128"/>
      <c r="BC215" s="128"/>
      <c r="BD215" s="128"/>
      <c r="BE215" s="128"/>
      <c r="BF215" s="128"/>
      <c r="BG215" s="128"/>
      <c r="BH215" s="128"/>
      <c r="BI215" s="128"/>
      <c r="BJ215" s="128"/>
      <c r="BK215" s="128"/>
      <c r="BL215" s="128"/>
      <c r="BM215" s="128"/>
      <c r="BN215" s="128"/>
      <c r="BO215" s="128"/>
      <c r="BP215" s="128"/>
      <c r="BQ215" s="128"/>
      <c r="BR215" s="128"/>
      <c r="BS215" s="128"/>
      <c r="BT215" s="128"/>
      <c r="BU215" s="128"/>
      <c r="BV215" s="128"/>
      <c r="BW215" s="128"/>
      <c r="BX215" s="128"/>
      <c r="BY215" s="128"/>
      <c r="BZ215" s="128"/>
      <c r="CA215" s="128"/>
      <c r="CB215" s="128"/>
      <c r="CC215" s="128"/>
      <c r="CD215" s="128"/>
      <c r="CE215" s="128"/>
      <c r="CF215" s="128"/>
      <c r="CG215" s="128"/>
      <c r="CH215" s="128"/>
      <c r="CI215" s="128"/>
      <c r="CJ215" s="128"/>
      <c r="CK215" s="128"/>
      <c r="CL215" s="128"/>
      <c r="CM215" s="128"/>
      <c r="CN215" s="128"/>
      <c r="CO215" s="128"/>
      <c r="CP215" s="128"/>
      <c r="CQ215" s="128"/>
      <c r="CR215" s="128"/>
      <c r="CS215" s="128"/>
      <c r="CT215" s="128"/>
      <c r="CU215" s="128"/>
    </row>
    <row r="216" spans="2:99" ht="14.5" outlineLevel="1" thickBot="1">
      <c r="B216" s="186"/>
      <c r="C216" s="186" t="s">
        <v>384</v>
      </c>
      <c r="D216" s="507">
        <v>0.9</v>
      </c>
      <c r="E216" s="186" t="s">
        <v>261</v>
      </c>
      <c r="F216" s="128"/>
      <c r="G216" s="266"/>
      <c r="H216" s="269"/>
      <c r="I216" s="265"/>
      <c r="J216" s="265"/>
      <c r="K216" s="265"/>
      <c r="L216" s="265"/>
      <c r="M216" s="265"/>
      <c r="N216" s="265"/>
      <c r="O216" s="265"/>
      <c r="P216" s="265"/>
      <c r="Q216" s="265"/>
      <c r="R216" s="265"/>
      <c r="S216" s="265"/>
      <c r="T216" s="265"/>
      <c r="U216" s="265"/>
      <c r="V216" s="265"/>
      <c r="W216" s="265"/>
      <c r="X216" s="265"/>
      <c r="Y216" s="265"/>
      <c r="Z216" s="265"/>
      <c r="AA216" s="265"/>
      <c r="AB216" s="265"/>
      <c r="AC216" s="265"/>
      <c r="AD216" s="265"/>
      <c r="AE216" s="265"/>
      <c r="AF216" s="265"/>
      <c r="AG216" s="265"/>
      <c r="AH216" s="128"/>
      <c r="AI216" s="128"/>
      <c r="AJ216" s="128"/>
      <c r="AK216" s="128"/>
      <c r="AL216" s="128"/>
      <c r="AM216" s="128"/>
      <c r="AN216" s="128"/>
      <c r="AO216" s="128"/>
      <c r="AP216" s="128"/>
      <c r="AQ216" s="128"/>
      <c r="AR216" s="128"/>
      <c r="AS216" s="128"/>
      <c r="AT216" s="128"/>
      <c r="AU216" s="128"/>
      <c r="AV216" s="128"/>
      <c r="AW216" s="128"/>
      <c r="AX216" s="128"/>
      <c r="AY216" s="128"/>
      <c r="AZ216" s="128"/>
      <c r="BA216" s="128"/>
      <c r="BB216" s="128"/>
      <c r="BC216" s="128"/>
      <c r="BD216" s="128"/>
      <c r="BE216" s="128"/>
      <c r="BF216" s="128"/>
      <c r="BG216" s="128"/>
      <c r="BH216" s="128"/>
      <c r="BI216" s="128"/>
      <c r="BJ216" s="128"/>
      <c r="BK216" s="128"/>
      <c r="BL216" s="128"/>
      <c r="BM216" s="128"/>
      <c r="BN216" s="128"/>
      <c r="BO216" s="128"/>
      <c r="BP216" s="128"/>
      <c r="BQ216" s="128"/>
      <c r="BR216" s="128"/>
      <c r="BS216" s="128"/>
      <c r="BT216" s="128"/>
      <c r="BU216" s="128"/>
      <c r="BV216" s="128"/>
      <c r="BW216" s="128"/>
      <c r="BX216" s="128"/>
      <c r="BY216" s="128"/>
      <c r="BZ216" s="128"/>
      <c r="CA216" s="128"/>
      <c r="CB216" s="128"/>
      <c r="CC216" s="128"/>
      <c r="CD216" s="128"/>
      <c r="CE216" s="128"/>
      <c r="CF216" s="128"/>
      <c r="CG216" s="128"/>
      <c r="CH216" s="128"/>
      <c r="CI216" s="128"/>
      <c r="CJ216" s="128"/>
      <c r="CK216" s="128"/>
      <c r="CL216" s="128"/>
      <c r="CM216" s="128"/>
      <c r="CN216" s="128"/>
      <c r="CO216" s="128"/>
      <c r="CP216" s="128"/>
      <c r="CQ216" s="128"/>
      <c r="CR216" s="128"/>
      <c r="CS216" s="128"/>
      <c r="CT216" s="128"/>
      <c r="CU216" s="128"/>
    </row>
    <row r="217" spans="2:99" ht="14.5" outlineLevel="1" thickBot="1">
      <c r="B217" s="186"/>
      <c r="C217" s="186" t="s">
        <v>385</v>
      </c>
      <c r="D217" s="270">
        <f>Self_Consumption*D214</f>
        <v>132498.69806249999</v>
      </c>
      <c r="E217" s="186" t="s">
        <v>309</v>
      </c>
      <c r="F217" s="128"/>
      <c r="G217" s="266"/>
      <c r="H217" s="269"/>
      <c r="I217" s="265"/>
      <c r="J217" s="265"/>
      <c r="K217" s="265"/>
      <c r="L217" s="265"/>
      <c r="M217" s="265"/>
      <c r="N217" s="265"/>
      <c r="O217" s="265"/>
      <c r="P217" s="265"/>
      <c r="Q217" s="265"/>
      <c r="R217" s="265"/>
      <c r="S217" s="265"/>
      <c r="T217" s="265"/>
      <c r="U217" s="265"/>
      <c r="V217" s="265"/>
      <c r="W217" s="265"/>
      <c r="X217" s="265"/>
      <c r="Y217" s="265"/>
      <c r="Z217" s="265"/>
      <c r="AA217" s="265"/>
      <c r="AB217" s="265"/>
      <c r="AC217" s="265"/>
      <c r="AD217" s="265"/>
      <c r="AE217" s="265"/>
      <c r="AF217" s="265"/>
      <c r="AG217" s="265"/>
      <c r="AH217" s="128"/>
      <c r="AI217" s="128"/>
      <c r="AJ217" s="128"/>
      <c r="AK217" s="128"/>
      <c r="AL217" s="128"/>
      <c r="AM217" s="128"/>
      <c r="AN217" s="128"/>
      <c r="AO217" s="128"/>
      <c r="AP217" s="128"/>
      <c r="AQ217" s="128"/>
      <c r="AR217" s="128"/>
      <c r="AS217" s="128"/>
      <c r="AT217" s="128"/>
      <c r="AU217" s="128"/>
      <c r="AV217" s="128"/>
      <c r="AW217" s="128"/>
      <c r="AX217" s="128"/>
      <c r="AY217" s="128"/>
      <c r="AZ217" s="128"/>
      <c r="BA217" s="128"/>
      <c r="BB217" s="128"/>
      <c r="BC217" s="128"/>
      <c r="BD217" s="128"/>
      <c r="BE217" s="128"/>
      <c r="BF217" s="128"/>
      <c r="BG217" s="128"/>
      <c r="BH217" s="128"/>
      <c r="BI217" s="128"/>
      <c r="BJ217" s="128"/>
      <c r="BK217" s="128"/>
      <c r="BL217" s="128"/>
      <c r="BM217" s="128"/>
      <c r="BN217" s="128"/>
      <c r="BO217" s="128"/>
      <c r="BP217" s="128"/>
      <c r="BQ217" s="128"/>
      <c r="BR217" s="128"/>
      <c r="BS217" s="128"/>
      <c r="BT217" s="128"/>
      <c r="BU217" s="128"/>
      <c r="BV217" s="128"/>
      <c r="BW217" s="128"/>
      <c r="BX217" s="128"/>
      <c r="BY217" s="128"/>
      <c r="BZ217" s="128"/>
      <c r="CA217" s="128"/>
      <c r="CB217" s="128"/>
      <c r="CC217" s="128"/>
      <c r="CD217" s="128"/>
      <c r="CE217" s="128"/>
      <c r="CF217" s="128"/>
      <c r="CG217" s="128"/>
      <c r="CH217" s="128"/>
      <c r="CI217" s="128"/>
      <c r="CJ217" s="128"/>
      <c r="CK217" s="128"/>
      <c r="CL217" s="128"/>
      <c r="CM217" s="128"/>
      <c r="CN217" s="128"/>
      <c r="CO217" s="128"/>
      <c r="CP217" s="128"/>
      <c r="CQ217" s="128"/>
      <c r="CR217" s="128"/>
      <c r="CS217" s="128"/>
      <c r="CT217" s="128"/>
      <c r="CU217" s="128"/>
    </row>
    <row r="218" spans="2:99" ht="14.5" outlineLevel="1" thickBot="1">
      <c r="B218" s="186"/>
      <c r="C218" s="186" t="s">
        <v>386</v>
      </c>
      <c r="D218" s="270">
        <f>D214*(1-Self_Consumption)</f>
        <v>14722.077562499995</v>
      </c>
      <c r="E218" s="186" t="s">
        <v>309</v>
      </c>
      <c r="F218" s="128"/>
      <c r="G218" s="266"/>
      <c r="H218" s="264"/>
      <c r="I218" s="265"/>
      <c r="J218" s="265"/>
      <c r="K218" s="265"/>
      <c r="L218" s="265"/>
      <c r="M218" s="265"/>
      <c r="N218" s="265"/>
      <c r="O218" s="265"/>
      <c r="P218" s="265"/>
      <c r="Q218" s="265"/>
      <c r="R218" s="265"/>
      <c r="S218" s="265"/>
      <c r="T218" s="265"/>
      <c r="U218" s="265"/>
      <c r="V218" s="265"/>
      <c r="W218" s="265"/>
      <c r="X218" s="265"/>
      <c r="Y218" s="265"/>
      <c r="Z218" s="265"/>
      <c r="AA218" s="265"/>
      <c r="AB218" s="265"/>
      <c r="AC218" s="265"/>
      <c r="AD218" s="265"/>
      <c r="AE218" s="265"/>
      <c r="AF218" s="265"/>
      <c r="AG218" s="265"/>
      <c r="AH218" s="128"/>
      <c r="AI218" s="128"/>
      <c r="AJ218" s="128"/>
      <c r="AK218" s="128"/>
      <c r="AL218" s="128"/>
      <c r="AM218" s="128"/>
      <c r="AN218" s="128"/>
      <c r="AO218" s="128"/>
      <c r="AP218" s="128"/>
      <c r="AQ218" s="128"/>
      <c r="AR218" s="128"/>
      <c r="AS218" s="128"/>
      <c r="AT218" s="128"/>
      <c r="AU218" s="128"/>
      <c r="AV218" s="128"/>
      <c r="AW218" s="128"/>
      <c r="AX218" s="128"/>
      <c r="AY218" s="128"/>
      <c r="AZ218" s="128"/>
      <c r="BA218" s="128"/>
      <c r="BB218" s="128"/>
      <c r="BC218" s="128"/>
      <c r="BD218" s="128"/>
      <c r="BE218" s="128"/>
      <c r="BF218" s="128"/>
      <c r="BG218" s="128"/>
      <c r="BH218" s="128"/>
      <c r="BI218" s="128"/>
      <c r="BJ218" s="128"/>
      <c r="BK218" s="128"/>
      <c r="BL218" s="128"/>
      <c r="BM218" s="128"/>
      <c r="BN218" s="128"/>
      <c r="BO218" s="128"/>
      <c r="BP218" s="128"/>
      <c r="BQ218" s="128"/>
      <c r="BR218" s="128"/>
      <c r="BS218" s="128"/>
      <c r="BT218" s="128"/>
      <c r="BU218" s="128"/>
      <c r="BV218" s="128"/>
      <c r="BW218" s="128"/>
      <c r="BX218" s="128"/>
      <c r="BY218" s="128"/>
      <c r="BZ218" s="128"/>
      <c r="CA218" s="128"/>
      <c r="CB218" s="128"/>
      <c r="CC218" s="128"/>
      <c r="CD218" s="128"/>
      <c r="CE218" s="128"/>
      <c r="CF218" s="128"/>
      <c r="CG218" s="128"/>
      <c r="CH218" s="128"/>
      <c r="CI218" s="128"/>
      <c r="CJ218" s="128"/>
      <c r="CK218" s="128"/>
      <c r="CL218" s="128"/>
      <c r="CM218" s="128"/>
      <c r="CN218" s="128"/>
      <c r="CO218" s="128"/>
      <c r="CP218" s="128"/>
      <c r="CQ218" s="128"/>
      <c r="CR218" s="128"/>
      <c r="CS218" s="128"/>
      <c r="CT218" s="128"/>
      <c r="CU218" s="128"/>
    </row>
    <row r="219" spans="2:99" ht="14.5" outlineLevel="1" thickBot="1">
      <c r="B219" s="186"/>
      <c r="C219" s="186" t="s">
        <v>387</v>
      </c>
      <c r="D219" s="507">
        <v>1</v>
      </c>
      <c r="E219" s="186" t="s">
        <v>261</v>
      </c>
      <c r="F219" s="128"/>
      <c r="G219" s="128"/>
      <c r="H219" s="269"/>
      <c r="I219" s="265"/>
      <c r="J219" s="265"/>
      <c r="K219" s="265"/>
      <c r="L219" s="265"/>
      <c r="M219" s="265"/>
      <c r="N219" s="265"/>
      <c r="O219" s="265"/>
      <c r="P219" s="265"/>
      <c r="Q219" s="265"/>
      <c r="R219" s="265"/>
      <c r="S219" s="265"/>
      <c r="T219" s="265"/>
      <c r="U219" s="265"/>
      <c r="V219" s="265"/>
      <c r="W219" s="265"/>
      <c r="X219" s="265"/>
      <c r="Y219" s="265"/>
      <c r="Z219" s="265"/>
      <c r="AA219" s="265"/>
      <c r="AB219" s="265"/>
      <c r="AC219" s="265"/>
      <c r="AD219" s="265"/>
      <c r="AE219" s="265"/>
      <c r="AF219" s="265"/>
      <c r="AG219" s="265"/>
      <c r="AH219" s="128"/>
      <c r="AI219" s="128"/>
      <c r="AJ219" s="128"/>
      <c r="AK219" s="128"/>
      <c r="AL219" s="128"/>
      <c r="AM219" s="128"/>
      <c r="AN219" s="128"/>
      <c r="AO219" s="128"/>
      <c r="AP219" s="128"/>
      <c r="AQ219" s="128"/>
      <c r="AR219" s="128"/>
      <c r="AS219" s="128"/>
      <c r="AT219" s="128"/>
      <c r="AU219" s="128"/>
      <c r="AV219" s="128"/>
      <c r="AW219" s="128"/>
      <c r="AX219" s="128"/>
      <c r="AY219" s="128"/>
      <c r="AZ219" s="128"/>
      <c r="BA219" s="128"/>
      <c r="BB219" s="128"/>
      <c r="BC219" s="128"/>
      <c r="BD219" s="128"/>
      <c r="BE219" s="128"/>
      <c r="BF219" s="128"/>
      <c r="BG219" s="128"/>
      <c r="BH219" s="128"/>
      <c r="BI219" s="128"/>
      <c r="BJ219" s="128"/>
      <c r="BK219" s="128"/>
      <c r="BL219" s="128"/>
      <c r="BM219" s="128"/>
      <c r="BN219" s="128"/>
      <c r="BO219" s="128"/>
      <c r="BP219" s="128"/>
      <c r="BQ219" s="128"/>
      <c r="BR219" s="128"/>
      <c r="BS219" s="128"/>
      <c r="BT219" s="128"/>
      <c r="BU219" s="128"/>
      <c r="BV219" s="128"/>
      <c r="BW219" s="128"/>
      <c r="BX219" s="128"/>
      <c r="BY219" s="128"/>
      <c r="BZ219" s="128"/>
      <c r="CA219" s="128"/>
      <c r="CB219" s="128"/>
      <c r="CC219" s="128"/>
      <c r="CD219" s="128"/>
      <c r="CE219" s="128"/>
      <c r="CF219" s="128"/>
      <c r="CG219" s="128"/>
      <c r="CH219" s="128"/>
      <c r="CI219" s="128"/>
      <c r="CJ219" s="128"/>
      <c r="CK219" s="128"/>
      <c r="CL219" s="128"/>
      <c r="CM219" s="128"/>
      <c r="CN219" s="128"/>
      <c r="CO219" s="128"/>
      <c r="CP219" s="128"/>
      <c r="CQ219" s="128"/>
      <c r="CR219" s="128"/>
      <c r="CS219" s="128"/>
      <c r="CT219" s="128"/>
      <c r="CU219" s="128"/>
    </row>
    <row r="220" spans="2:99" ht="14.5" outlineLevel="1" thickBot="1">
      <c r="B220" s="132"/>
      <c r="C220" s="132" t="s">
        <v>388</v>
      </c>
      <c r="D220" s="133"/>
      <c r="E220" s="133"/>
      <c r="F220" s="146"/>
      <c r="G220" s="176"/>
      <c r="H220" s="156"/>
      <c r="I220" s="271">
        <f>I215*Sales_Factor</f>
        <v>147220.77562499998</v>
      </c>
      <c r="J220" s="271">
        <f t="shared" ref="J220:AG220" si="35">J215*Sales_Factor</f>
        <v>146337.45097124999</v>
      </c>
      <c r="K220" s="271">
        <f t="shared" si="35"/>
        <v>145459.42626542249</v>
      </c>
      <c r="L220" s="271">
        <f t="shared" si="35"/>
        <v>144586.66970782995</v>
      </c>
      <c r="M220" s="271">
        <f t="shared" si="35"/>
        <v>143719.14968958296</v>
      </c>
      <c r="N220" s="271">
        <f t="shared" si="35"/>
        <v>142856.83479144549</v>
      </c>
      <c r="O220" s="271">
        <f t="shared" si="35"/>
        <v>141999.69378269682</v>
      </c>
      <c r="P220" s="271">
        <f t="shared" si="35"/>
        <v>141147.69562000062</v>
      </c>
      <c r="Q220" s="271">
        <f t="shared" si="35"/>
        <v>140300.80944628062</v>
      </c>
      <c r="R220" s="271">
        <f t="shared" si="35"/>
        <v>139459.00458960293</v>
      </c>
      <c r="S220" s="271">
        <f>S215*Sales_Factor</f>
        <v>138622.25056206534</v>
      </c>
      <c r="T220" s="271">
        <f t="shared" si="35"/>
        <v>137790.51705869293</v>
      </c>
      <c r="U220" s="271">
        <f t="shared" si="35"/>
        <v>136963.7739563408</v>
      </c>
      <c r="V220" s="271">
        <f>V215*Sales_Factor</f>
        <v>136141.99131260274</v>
      </c>
      <c r="W220" s="271">
        <f t="shared" si="35"/>
        <v>135325.13936472713</v>
      </c>
      <c r="X220" s="271">
        <f t="shared" si="35"/>
        <v>134513.18852853877</v>
      </c>
      <c r="Y220" s="271">
        <f t="shared" si="35"/>
        <v>133706.10939736755</v>
      </c>
      <c r="Z220" s="271">
        <f t="shared" si="35"/>
        <v>132903.87274098332</v>
      </c>
      <c r="AA220" s="271">
        <f t="shared" si="35"/>
        <v>132106.44950453742</v>
      </c>
      <c r="AB220" s="271">
        <f t="shared" si="35"/>
        <v>131313.81080751019</v>
      </c>
      <c r="AC220" s="271">
        <f t="shared" si="35"/>
        <v>130525.92794266516</v>
      </c>
      <c r="AD220" s="271">
        <f t="shared" si="35"/>
        <v>129742.77237500917</v>
      </c>
      <c r="AE220" s="271">
        <f t="shared" si="35"/>
        <v>128964.31574075912</v>
      </c>
      <c r="AF220" s="271">
        <f t="shared" si="35"/>
        <v>128190.52984631456</v>
      </c>
      <c r="AG220" s="271">
        <f t="shared" si="35"/>
        <v>127421.38666723667</v>
      </c>
      <c r="AH220" s="128"/>
      <c r="AI220" s="128"/>
      <c r="AJ220" s="128"/>
      <c r="AK220" s="128"/>
      <c r="AL220" s="128"/>
      <c r="AM220" s="128"/>
      <c r="AN220" s="128"/>
      <c r="AO220" s="128"/>
      <c r="AP220" s="128"/>
      <c r="AQ220" s="128"/>
      <c r="AR220" s="128"/>
      <c r="AS220" s="128"/>
      <c r="AT220" s="128"/>
      <c r="AU220" s="128"/>
      <c r="AV220" s="128"/>
      <c r="AW220" s="128"/>
      <c r="AX220" s="128"/>
      <c r="AY220" s="128"/>
      <c r="AZ220" s="128"/>
      <c r="BA220" s="128"/>
      <c r="BB220" s="128"/>
      <c r="BC220" s="128"/>
      <c r="BD220" s="128"/>
      <c r="BE220" s="128"/>
      <c r="BF220" s="128"/>
      <c r="BG220" s="128"/>
      <c r="BH220" s="128"/>
      <c r="BI220" s="128"/>
      <c r="BJ220" s="128"/>
      <c r="BK220" s="128"/>
      <c r="BL220" s="128"/>
      <c r="BM220" s="128"/>
      <c r="BN220" s="128"/>
      <c r="BO220" s="128"/>
      <c r="BP220" s="128"/>
      <c r="BQ220" s="128"/>
      <c r="BR220" s="128"/>
      <c r="BS220" s="128"/>
      <c r="BT220" s="128"/>
      <c r="BU220" s="128"/>
      <c r="BV220" s="128"/>
      <c r="BW220" s="128"/>
      <c r="BX220" s="128"/>
      <c r="BY220" s="128"/>
      <c r="BZ220" s="128"/>
      <c r="CA220" s="128"/>
      <c r="CB220" s="128"/>
      <c r="CC220" s="128"/>
      <c r="CD220" s="128"/>
      <c r="CE220" s="128"/>
      <c r="CF220" s="128"/>
      <c r="CG220" s="128"/>
      <c r="CH220" s="128"/>
      <c r="CI220" s="128"/>
      <c r="CJ220" s="128"/>
      <c r="CK220" s="128"/>
      <c r="CL220" s="128"/>
      <c r="CM220" s="128"/>
      <c r="CN220" s="128"/>
      <c r="CO220" s="128"/>
      <c r="CP220" s="128"/>
      <c r="CQ220" s="128"/>
      <c r="CR220" s="128"/>
      <c r="CS220" s="128"/>
      <c r="CT220" s="128"/>
      <c r="CU220" s="128"/>
    </row>
    <row r="221" spans="2:99" ht="14.5" outlineLevel="1">
      <c r="C221" s="272"/>
      <c r="G221" s="128"/>
      <c r="I221" s="273"/>
      <c r="J221" s="273"/>
      <c r="K221" s="273"/>
      <c r="L221" s="273"/>
      <c r="M221" s="273"/>
      <c r="N221" s="273"/>
      <c r="O221" s="273"/>
      <c r="P221" s="273"/>
      <c r="Q221" s="273"/>
      <c r="R221" s="273"/>
      <c r="S221" s="273"/>
      <c r="T221" s="273"/>
      <c r="U221" s="273"/>
      <c r="V221" s="273"/>
      <c r="W221" s="273"/>
      <c r="X221" s="273"/>
      <c r="Y221" s="273"/>
      <c r="Z221" s="273"/>
      <c r="AA221" s="273"/>
      <c r="AB221" s="273"/>
    </row>
    <row r="222" spans="2:99" ht="14.5" outlineLevel="1" thickBot="1">
      <c r="G222" s="128"/>
    </row>
    <row r="223" spans="2:99" ht="14.5" outlineLevel="1" thickBot="1">
      <c r="B223" s="132"/>
      <c r="C223" s="132" t="s">
        <v>389</v>
      </c>
      <c r="D223" s="148" t="s">
        <v>390</v>
      </c>
      <c r="E223" s="148" t="s">
        <v>391</v>
      </c>
      <c r="G223" s="274"/>
      <c r="H223" s="632" t="s">
        <v>392</v>
      </c>
      <c r="I223" s="633">
        <v>0</v>
      </c>
      <c r="J223" s="511">
        <v>0</v>
      </c>
      <c r="K223" s="511">
        <v>0</v>
      </c>
      <c r="L223" s="511">
        <v>0</v>
      </c>
      <c r="M223" s="511">
        <v>0</v>
      </c>
      <c r="N223" s="511">
        <v>0</v>
      </c>
      <c r="O223" s="511">
        <v>0</v>
      </c>
      <c r="P223" s="511">
        <v>0</v>
      </c>
      <c r="Q223" s="511">
        <v>0</v>
      </c>
      <c r="R223" s="511">
        <v>0</v>
      </c>
      <c r="S223" s="511">
        <v>0</v>
      </c>
      <c r="T223" s="511">
        <v>0</v>
      </c>
      <c r="U223" s="511">
        <v>0</v>
      </c>
      <c r="V223" s="511">
        <v>0</v>
      </c>
      <c r="W223" s="511">
        <v>0</v>
      </c>
      <c r="X223" s="511">
        <v>0</v>
      </c>
      <c r="Y223" s="511">
        <v>0</v>
      </c>
      <c r="Z223" s="511">
        <v>0</v>
      </c>
      <c r="AA223" s="511">
        <v>0</v>
      </c>
      <c r="AB223" s="511">
        <v>0</v>
      </c>
      <c r="AC223" s="511">
        <v>0</v>
      </c>
      <c r="AD223" s="511">
        <v>0</v>
      </c>
      <c r="AE223" s="511">
        <v>0</v>
      </c>
      <c r="AF223" s="511">
        <v>0</v>
      </c>
      <c r="AG223" s="511">
        <v>0</v>
      </c>
      <c r="AH223" s="100"/>
    </row>
    <row r="224" spans="2:99" ht="14.5" outlineLevel="1" thickBot="1">
      <c r="B224" s="275"/>
      <c r="C224" s="275" t="s">
        <v>393</v>
      </c>
      <c r="D224" s="507">
        <v>0.05</v>
      </c>
      <c r="E224" s="148">
        <v>10.5</v>
      </c>
      <c r="G224" s="274"/>
      <c r="H224" s="629" t="s">
        <v>394</v>
      </c>
      <c r="I224" s="629">
        <f>IF(D230&gt;0,D230*D217/Initial_ER,D228*D217/Initial_ER)</f>
        <v>8184.160653539062</v>
      </c>
      <c r="J224" s="271">
        <f t="shared" ref="J224:AG224" si="36">IF(J1&lt;=$D$18,I224*(1+J223)*(1-$D$215),0)</f>
        <v>8135.0556896178277</v>
      </c>
      <c r="K224" s="271">
        <f t="shared" si="36"/>
        <v>8086.2453554801205</v>
      </c>
      <c r="L224" s="271">
        <f t="shared" si="36"/>
        <v>8037.7278833472401</v>
      </c>
      <c r="M224" s="271">
        <f t="shared" si="36"/>
        <v>7989.5015160471567</v>
      </c>
      <c r="N224" s="271">
        <f t="shared" si="36"/>
        <v>7941.5645069508737</v>
      </c>
      <c r="O224" s="271">
        <f t="shared" si="36"/>
        <v>7893.9151199091684</v>
      </c>
      <c r="P224" s="271">
        <f t="shared" si="36"/>
        <v>7846.5516291897138</v>
      </c>
      <c r="Q224" s="271">
        <f t="shared" si="36"/>
        <v>7799.4723194145754</v>
      </c>
      <c r="R224" s="271">
        <f t="shared" si="36"/>
        <v>7752.6754854980882</v>
      </c>
      <c r="S224" s="271">
        <f t="shared" si="36"/>
        <v>7706.1594325850992</v>
      </c>
      <c r="T224" s="271">
        <f t="shared" si="36"/>
        <v>7659.9224759895887</v>
      </c>
      <c r="U224" s="271">
        <f t="shared" si="36"/>
        <v>7613.9629411336509</v>
      </c>
      <c r="V224" s="271">
        <f t="shared" si="36"/>
        <v>7568.279163486849</v>
      </c>
      <c r="W224" s="271">
        <f t="shared" si="36"/>
        <v>7522.8694885059276</v>
      </c>
      <c r="X224" s="271">
        <f t="shared" si="36"/>
        <v>7477.7322715748924</v>
      </c>
      <c r="Y224" s="271">
        <f t="shared" si="36"/>
        <v>7432.8658779454427</v>
      </c>
      <c r="Z224" s="271">
        <f t="shared" si="36"/>
        <v>7388.2686826777699</v>
      </c>
      <c r="AA224" s="271">
        <f t="shared" si="36"/>
        <v>7343.9390705817032</v>
      </c>
      <c r="AB224" s="271">
        <f t="shared" si="36"/>
        <v>7299.8754361582132</v>
      </c>
      <c r="AC224" s="271">
        <f t="shared" si="36"/>
        <v>7256.0761835412641</v>
      </c>
      <c r="AD224" s="271">
        <f t="shared" si="36"/>
        <v>7212.5397264400162</v>
      </c>
      <c r="AE224" s="271">
        <f t="shared" si="36"/>
        <v>7169.2644880813759</v>
      </c>
      <c r="AF224" s="271">
        <f t="shared" si="36"/>
        <v>7126.2489011528878</v>
      </c>
      <c r="AG224" s="271">
        <f t="shared" si="36"/>
        <v>7083.4914077459707</v>
      </c>
      <c r="AH224" s="276"/>
    </row>
    <row r="225" spans="2:34" ht="14.5" outlineLevel="1" thickBot="1">
      <c r="B225" s="275"/>
      <c r="C225" s="275" t="s">
        <v>395</v>
      </c>
      <c r="D225" s="507">
        <v>0</v>
      </c>
      <c r="E225" s="148">
        <v>5.4</v>
      </c>
      <c r="F225" s="277"/>
      <c r="G225" s="274"/>
      <c r="H225" s="278"/>
      <c r="I225" s="279"/>
      <c r="J225" s="279"/>
      <c r="K225" s="279"/>
      <c r="L225" s="279"/>
      <c r="M225" s="279"/>
      <c r="N225" s="279"/>
      <c r="O225" s="279"/>
      <c r="P225" s="279"/>
      <c r="Q225" s="279"/>
      <c r="R225" s="279"/>
      <c r="S225" s="279"/>
      <c r="T225" s="279"/>
      <c r="U225" s="279"/>
      <c r="V225" s="279"/>
      <c r="W225" s="279"/>
      <c r="X225" s="279"/>
      <c r="Y225" s="279"/>
      <c r="Z225" s="279"/>
      <c r="AA225" s="279"/>
      <c r="AB225" s="279"/>
      <c r="AC225" s="279"/>
      <c r="AD225" s="279"/>
      <c r="AE225" s="279"/>
      <c r="AF225" s="279"/>
      <c r="AG225" s="279"/>
      <c r="AH225" s="128"/>
    </row>
    <row r="226" spans="2:34" ht="14.5" outlineLevel="1" thickBot="1">
      <c r="B226" s="275"/>
      <c r="C226" s="275" t="s">
        <v>396</v>
      </c>
      <c r="D226" s="280">
        <f>1-D224-D225</f>
        <v>0.95</v>
      </c>
      <c r="E226" s="148">
        <v>8.5500000000000007</v>
      </c>
      <c r="F226" s="277"/>
      <c r="G226" s="274"/>
      <c r="H226" s="277"/>
      <c r="I226" s="277"/>
      <c r="J226" s="277"/>
      <c r="K226" s="277"/>
      <c r="L226" s="277"/>
      <c r="M226" s="277"/>
      <c r="N226" s="277"/>
      <c r="O226" s="277"/>
      <c r="P226" s="277"/>
      <c r="Q226" s="277"/>
      <c r="R226" s="277"/>
      <c r="S226" s="277"/>
      <c r="T226" s="277"/>
      <c r="U226" s="277"/>
      <c r="V226" s="277"/>
      <c r="W226" s="277"/>
      <c r="X226" s="277"/>
      <c r="Y226" s="277"/>
      <c r="Z226" s="277"/>
      <c r="AA226" s="277"/>
      <c r="AB226" s="277"/>
      <c r="AC226" s="277"/>
      <c r="AD226" s="277"/>
      <c r="AE226" s="277"/>
      <c r="AF226" s="277"/>
      <c r="AG226" s="277"/>
      <c r="AH226" s="128"/>
    </row>
    <row r="227" spans="2:34" ht="14.5" outlineLevel="1" thickBot="1">
      <c r="C227" s="277"/>
      <c r="D227" s="277"/>
      <c r="E227" s="277"/>
      <c r="F227" s="277"/>
      <c r="G227" s="274"/>
      <c r="H227" s="627" t="s">
        <v>392</v>
      </c>
      <c r="I227" s="628">
        <v>0</v>
      </c>
      <c r="J227" s="511">
        <v>0</v>
      </c>
      <c r="K227" s="511">
        <v>0</v>
      </c>
      <c r="L227" s="511">
        <v>0</v>
      </c>
      <c r="M227" s="511">
        <v>0</v>
      </c>
      <c r="N227" s="511">
        <v>0</v>
      </c>
      <c r="O227" s="511">
        <v>0</v>
      </c>
      <c r="P227" s="511">
        <v>0</v>
      </c>
      <c r="Q227" s="511">
        <v>0</v>
      </c>
      <c r="R227" s="511">
        <v>0</v>
      </c>
      <c r="S227" s="511">
        <v>0</v>
      </c>
      <c r="T227" s="511">
        <v>0</v>
      </c>
      <c r="U227" s="511">
        <v>0</v>
      </c>
      <c r="V227" s="511">
        <v>0</v>
      </c>
      <c r="W227" s="511">
        <v>0</v>
      </c>
      <c r="X227" s="511">
        <v>0</v>
      </c>
      <c r="Y227" s="511">
        <v>0</v>
      </c>
      <c r="Z227" s="511">
        <v>0</v>
      </c>
      <c r="AA227" s="511">
        <v>0</v>
      </c>
      <c r="AB227" s="511">
        <v>0</v>
      </c>
      <c r="AC227" s="511">
        <v>0</v>
      </c>
      <c r="AD227" s="511">
        <v>0</v>
      </c>
      <c r="AE227" s="511">
        <v>0</v>
      </c>
      <c r="AF227" s="511">
        <v>0</v>
      </c>
      <c r="AG227" s="511">
        <v>0</v>
      </c>
      <c r="AH227" s="100"/>
    </row>
    <row r="228" spans="2:34" ht="14.5" outlineLevel="1" thickBot="1">
      <c r="B228" s="282"/>
      <c r="C228" s="282" t="s">
        <v>397</v>
      </c>
      <c r="D228" s="283">
        <f>D224*E224+D225*E225+D226*E226</f>
        <v>8.6475000000000009</v>
      </c>
      <c r="E228" s="186" t="s">
        <v>398</v>
      </c>
      <c r="F228" s="277"/>
      <c r="G228" s="274"/>
      <c r="H228" s="629" t="s">
        <v>399</v>
      </c>
      <c r="I228" s="629">
        <f>IF(I$1&lt;=$D$18,$D$218*((1-$D$215)^H1)*$D$229/Initial_ER,0)</f>
        <v>624.63671943749978</v>
      </c>
      <c r="J228" s="271">
        <f t="shared" ref="J228:AG228" si="37">IF(J1&lt;=$D$18,I228*(1+J223)*(1-$D$215),0)</f>
        <v>620.88889912087473</v>
      </c>
      <c r="K228" s="271">
        <f t="shared" si="37"/>
        <v>617.1635657261495</v>
      </c>
      <c r="L228" s="271">
        <f t="shared" si="37"/>
        <v>613.46058433179257</v>
      </c>
      <c r="M228" s="271">
        <f t="shared" si="37"/>
        <v>609.77982082580183</v>
      </c>
      <c r="N228" s="271">
        <f t="shared" si="37"/>
        <v>606.12114190084696</v>
      </c>
      <c r="O228" s="271">
        <f t="shared" si="37"/>
        <v>602.48441504944185</v>
      </c>
      <c r="P228" s="271">
        <f t="shared" si="37"/>
        <v>598.86950855914517</v>
      </c>
      <c r="Q228" s="271">
        <f t="shared" si="37"/>
        <v>595.27629150779035</v>
      </c>
      <c r="R228" s="271">
        <f t="shared" si="37"/>
        <v>591.70463375874363</v>
      </c>
      <c r="S228" s="271">
        <f t="shared" si="37"/>
        <v>588.15440595619111</v>
      </c>
      <c r="T228" s="271">
        <f t="shared" si="37"/>
        <v>584.62547952045395</v>
      </c>
      <c r="U228" s="271">
        <f t="shared" si="37"/>
        <v>581.11772664333125</v>
      </c>
      <c r="V228" s="271">
        <f t="shared" si="37"/>
        <v>577.63102028347123</v>
      </c>
      <c r="W228" s="271">
        <f t="shared" si="37"/>
        <v>574.1652341617704</v>
      </c>
      <c r="X228" s="271">
        <f t="shared" si="37"/>
        <v>570.72024275679973</v>
      </c>
      <c r="Y228" s="271">
        <f t="shared" si="37"/>
        <v>567.2959213002589</v>
      </c>
      <c r="Z228" s="271">
        <f t="shared" si="37"/>
        <v>563.8921457724573</v>
      </c>
      <c r="AA228" s="271">
        <f t="shared" si="37"/>
        <v>560.50879289782256</v>
      </c>
      <c r="AB228" s="271">
        <f t="shared" si="37"/>
        <v>557.14574014043558</v>
      </c>
      <c r="AC228" s="271">
        <f t="shared" si="37"/>
        <v>553.80286569959299</v>
      </c>
      <c r="AD228" s="271">
        <f t="shared" si="37"/>
        <v>550.48004850539542</v>
      </c>
      <c r="AE228" s="271">
        <f t="shared" si="37"/>
        <v>547.17716821436306</v>
      </c>
      <c r="AF228" s="271">
        <f t="shared" si="37"/>
        <v>543.89410520507693</v>
      </c>
      <c r="AG228" s="271">
        <f t="shared" si="37"/>
        <v>540.63074057384642</v>
      </c>
      <c r="AH228" s="276"/>
    </row>
    <row r="229" spans="2:34" ht="14.5" outlineLevel="1" thickBot="1">
      <c r="B229" s="282"/>
      <c r="C229" s="282" t="s">
        <v>559</v>
      </c>
      <c r="D229" s="508">
        <v>5.94</v>
      </c>
      <c r="E229" s="186" t="s">
        <v>398</v>
      </c>
      <c r="F229" s="277"/>
      <c r="G229" s="274"/>
      <c r="H229" s="278"/>
      <c r="I229" s="278"/>
      <c r="AH229" s="128"/>
    </row>
    <row r="230" spans="2:34" ht="14.5" outlineLevel="1" thickBot="1">
      <c r="B230" s="282"/>
      <c r="C230" s="282" t="s">
        <v>400</v>
      </c>
      <c r="D230" s="508">
        <v>0</v>
      </c>
      <c r="E230" s="186" t="s">
        <v>398</v>
      </c>
      <c r="F230" s="284" t="s">
        <v>401</v>
      </c>
      <c r="G230" s="274"/>
      <c r="H230" s="278"/>
    </row>
    <row r="231" spans="2:34" ht="14.5" outlineLevel="1" thickBot="1">
      <c r="C231" s="277"/>
      <c r="D231" s="277"/>
      <c r="E231" s="277"/>
      <c r="F231" s="277"/>
      <c r="G231" s="274"/>
      <c r="H231" s="277"/>
      <c r="I231" s="277"/>
      <c r="J231" s="277"/>
      <c r="K231" s="277"/>
      <c r="L231" s="277"/>
      <c r="M231" s="277"/>
      <c r="N231" s="277"/>
      <c r="O231" s="277"/>
      <c r="P231" s="277"/>
      <c r="Q231" s="277"/>
      <c r="R231" s="277"/>
      <c r="S231" s="277"/>
      <c r="T231" s="277"/>
      <c r="U231" s="277"/>
      <c r="V231" s="277"/>
      <c r="W231" s="277"/>
      <c r="X231" s="277"/>
      <c r="Y231" s="277"/>
      <c r="Z231" s="277"/>
      <c r="AA231" s="277"/>
      <c r="AB231" s="277"/>
      <c r="AC231" s="277"/>
      <c r="AD231" s="277"/>
      <c r="AE231" s="277"/>
      <c r="AF231" s="277"/>
      <c r="AG231" s="277"/>
    </row>
    <row r="232" spans="2:34" s="153" customFormat="1" ht="14.5" outlineLevel="1" thickBot="1">
      <c r="B232" s="132"/>
      <c r="C232" s="132" t="s">
        <v>402</v>
      </c>
      <c r="D232" s="133"/>
      <c r="E232" s="133"/>
      <c r="G232" s="184"/>
      <c r="H232" s="156"/>
      <c r="I232" s="156">
        <f>I224+I228</f>
        <v>8808.7973729765617</v>
      </c>
      <c r="J232" s="271">
        <f t="shared" ref="J232:AG232" si="38">J224+J228</f>
        <v>8755.9445887387028</v>
      </c>
      <c r="K232" s="271">
        <f t="shared" si="38"/>
        <v>8703.40892120627</v>
      </c>
      <c r="L232" s="271">
        <f t="shared" si="38"/>
        <v>8651.1884676790323</v>
      </c>
      <c r="M232" s="271">
        <f t="shared" si="38"/>
        <v>8599.2813368729585</v>
      </c>
      <c r="N232" s="271">
        <f t="shared" si="38"/>
        <v>8547.6856488517205</v>
      </c>
      <c r="O232" s="271">
        <f t="shared" si="38"/>
        <v>8496.3995349586112</v>
      </c>
      <c r="P232" s="271">
        <f t="shared" si="38"/>
        <v>8445.4211377488591</v>
      </c>
      <c r="Q232" s="271">
        <f t="shared" si="38"/>
        <v>8394.7486109223664</v>
      </c>
      <c r="R232" s="271">
        <f t="shared" si="38"/>
        <v>8344.3801192568317</v>
      </c>
      <c r="S232" s="271">
        <f t="shared" si="38"/>
        <v>8294.3138385412894</v>
      </c>
      <c r="T232" s="271">
        <f t="shared" si="38"/>
        <v>8244.5479555100428</v>
      </c>
      <c r="U232" s="271">
        <f t="shared" si="38"/>
        <v>8195.0806677769815</v>
      </c>
      <c r="V232" s="271">
        <f t="shared" si="38"/>
        <v>8145.9101837703201</v>
      </c>
      <c r="W232" s="271">
        <f t="shared" si="38"/>
        <v>8097.0347226676977</v>
      </c>
      <c r="X232" s="271">
        <f t="shared" si="38"/>
        <v>8048.4525143316923</v>
      </c>
      <c r="Y232" s="271">
        <f t="shared" si="38"/>
        <v>8000.1617992457013</v>
      </c>
      <c r="Z232" s="271">
        <f t="shared" si="38"/>
        <v>7952.1608284502272</v>
      </c>
      <c r="AA232" s="271">
        <f t="shared" si="38"/>
        <v>7904.4478634795259</v>
      </c>
      <c r="AB232" s="271">
        <f t="shared" si="38"/>
        <v>7857.0211762986492</v>
      </c>
      <c r="AC232" s="271">
        <f t="shared" si="38"/>
        <v>7809.8790492408571</v>
      </c>
      <c r="AD232" s="271">
        <f t="shared" si="38"/>
        <v>7763.0197749454119</v>
      </c>
      <c r="AE232" s="271">
        <f t="shared" si="38"/>
        <v>7716.4416562957394</v>
      </c>
      <c r="AF232" s="271">
        <f t="shared" si="38"/>
        <v>7670.1430063579646</v>
      </c>
      <c r="AG232" s="271">
        <f t="shared" si="38"/>
        <v>7624.1221483198169</v>
      </c>
    </row>
    <row r="233" spans="2:34" outlineLevel="1">
      <c r="C233" s="153"/>
      <c r="G233" s="128"/>
      <c r="I233" s="224"/>
      <c r="J233" s="224"/>
      <c r="K233" s="224"/>
      <c r="L233" s="224"/>
      <c r="M233" s="224"/>
      <c r="N233" s="224"/>
      <c r="O233" s="224"/>
      <c r="P233" s="224"/>
      <c r="Q233" s="224"/>
      <c r="R233" s="224"/>
      <c r="S233" s="224"/>
      <c r="T233" s="224"/>
      <c r="U233" s="224"/>
      <c r="V233" s="224"/>
      <c r="W233" s="224"/>
      <c r="X233" s="224"/>
      <c r="Y233" s="224"/>
      <c r="Z233" s="224"/>
      <c r="AA233" s="224"/>
      <c r="AB233" s="224"/>
    </row>
    <row r="234" spans="2:34" ht="23" outlineLevel="1">
      <c r="B234" s="129"/>
      <c r="C234" s="142" t="s">
        <v>403</v>
      </c>
      <c r="D234" s="143"/>
      <c r="E234" s="143"/>
      <c r="F234" s="143"/>
      <c r="G234" s="128"/>
      <c r="H234" s="144"/>
      <c r="I234" s="144"/>
      <c r="J234" s="144"/>
      <c r="K234" s="145">
        <f>$K$1</f>
        <v>3</v>
      </c>
      <c r="L234" s="145">
        <f>$L$1</f>
        <v>4</v>
      </c>
      <c r="M234" s="145">
        <f>$M$1</f>
        <v>5</v>
      </c>
      <c r="N234" s="145">
        <f>$N$1</f>
        <v>6</v>
      </c>
      <c r="O234" s="145">
        <f>$O$1</f>
        <v>7</v>
      </c>
      <c r="P234" s="145">
        <f>$P$1</f>
        <v>8</v>
      </c>
      <c r="Q234" s="145">
        <f>$Q$1</f>
        <v>9</v>
      </c>
      <c r="R234" s="145">
        <f>$R$1</f>
        <v>10</v>
      </c>
      <c r="S234" s="145">
        <f>$S$1</f>
        <v>11</v>
      </c>
      <c r="T234" s="145">
        <f>$T$1</f>
        <v>12</v>
      </c>
      <c r="U234" s="145">
        <f>$U$1</f>
        <v>13</v>
      </c>
      <c r="V234" s="145">
        <f>$V$1</f>
        <v>14</v>
      </c>
      <c r="W234" s="145">
        <f>$W$1</f>
        <v>15</v>
      </c>
      <c r="X234" s="145">
        <f>$X$1</f>
        <v>16</v>
      </c>
      <c r="Y234" s="145">
        <f>$Y$1</f>
        <v>17</v>
      </c>
      <c r="Z234" s="145">
        <f>$Z$1</f>
        <v>18</v>
      </c>
      <c r="AA234" s="145">
        <f>$AA$1</f>
        <v>19</v>
      </c>
      <c r="AB234" s="145">
        <f>$AB$1</f>
        <v>20</v>
      </c>
      <c r="AC234" s="145">
        <f>$AC$1</f>
        <v>21</v>
      </c>
      <c r="AD234" s="145">
        <f>$AD$1</f>
        <v>22</v>
      </c>
      <c r="AE234" s="145">
        <f>$AE$1</f>
        <v>23</v>
      </c>
      <c r="AF234" s="145">
        <f>$AF$1</f>
        <v>24</v>
      </c>
      <c r="AG234" s="145">
        <f>$AG$1</f>
        <v>25</v>
      </c>
    </row>
    <row r="235" spans="2:34" ht="14.5" outlineLevel="1" thickBot="1">
      <c r="C235" s="285"/>
      <c r="D235" s="286"/>
      <c r="E235" s="287"/>
      <c r="F235" s="287"/>
      <c r="G235" s="274"/>
      <c r="H235" s="225"/>
      <c r="I235" s="225"/>
      <c r="J235" s="225"/>
      <c r="K235" s="225"/>
      <c r="L235" s="225"/>
      <c r="M235" s="225"/>
      <c r="N235" s="225"/>
      <c r="O235" s="225"/>
      <c r="P235" s="225"/>
      <c r="Q235" s="225"/>
      <c r="R235" s="225"/>
      <c r="S235" s="225"/>
      <c r="T235" s="225"/>
      <c r="U235" s="225"/>
      <c r="V235" s="225"/>
      <c r="W235" s="225"/>
      <c r="X235" s="225"/>
      <c r="Y235" s="225"/>
      <c r="Z235" s="225"/>
      <c r="AA235" s="225"/>
      <c r="AB235" s="225"/>
      <c r="AC235" s="225"/>
      <c r="AD235" s="225"/>
      <c r="AE235" s="225"/>
      <c r="AF235" s="225"/>
      <c r="AG235" s="225"/>
    </row>
    <row r="236" spans="2:34" ht="14.5" outlineLevel="1" thickBot="1">
      <c r="B236" s="132"/>
      <c r="C236" s="132" t="s">
        <v>268</v>
      </c>
      <c r="D236" s="132"/>
      <c r="E236" s="133"/>
      <c r="F236" s="133"/>
      <c r="G236" s="226"/>
      <c r="H236" s="133"/>
      <c r="I236" s="178">
        <f>$I$1</f>
        <v>1</v>
      </c>
      <c r="J236" s="178">
        <f>$J$1</f>
        <v>2</v>
      </c>
      <c r="K236" s="133">
        <f>$K$1</f>
        <v>3</v>
      </c>
      <c r="L236" s="133">
        <f>$L$1</f>
        <v>4</v>
      </c>
      <c r="M236" s="133">
        <f>$M$1</f>
        <v>5</v>
      </c>
      <c r="N236" s="133">
        <f>$N$1</f>
        <v>6</v>
      </c>
      <c r="O236" s="133">
        <f>$O$1</f>
        <v>7</v>
      </c>
      <c r="P236" s="133">
        <f>$P$1</f>
        <v>8</v>
      </c>
      <c r="Q236" s="133">
        <f>$Q$1</f>
        <v>9</v>
      </c>
      <c r="R236" s="133">
        <f>$R$1</f>
        <v>10</v>
      </c>
      <c r="S236" s="133">
        <f>$S$1</f>
        <v>11</v>
      </c>
      <c r="T236" s="133">
        <f>$T$1</f>
        <v>12</v>
      </c>
      <c r="U236" s="133">
        <f>$U$1</f>
        <v>13</v>
      </c>
      <c r="V236" s="133">
        <f>$V$1</f>
        <v>14</v>
      </c>
      <c r="W236" s="133">
        <f>$W$1</f>
        <v>15</v>
      </c>
      <c r="X236" s="133">
        <f>$X$1</f>
        <v>16</v>
      </c>
      <c r="Y236" s="133">
        <f>$Y$1</f>
        <v>17</v>
      </c>
      <c r="Z236" s="133">
        <f>$Z$1</f>
        <v>18</v>
      </c>
      <c r="AA236" s="133">
        <f>$AA$1</f>
        <v>19</v>
      </c>
      <c r="AB236" s="133">
        <f>$AB$1</f>
        <v>20</v>
      </c>
      <c r="AC236" s="133">
        <f>$AC$1</f>
        <v>21</v>
      </c>
      <c r="AD236" s="133">
        <f>$AD$1</f>
        <v>22</v>
      </c>
      <c r="AE236" s="133">
        <f>$AE$1</f>
        <v>23</v>
      </c>
      <c r="AF236" s="133">
        <f>$AF$1</f>
        <v>24</v>
      </c>
      <c r="AG236" s="147">
        <f>$AG$1</f>
        <v>25</v>
      </c>
    </row>
    <row r="237" spans="2:34" ht="14.5" outlineLevel="1" thickBot="1">
      <c r="B237" s="186"/>
      <c r="C237" s="186" t="s">
        <v>404</v>
      </c>
      <c r="D237" s="186"/>
      <c r="E237" s="458">
        <f>D36</f>
        <v>0</v>
      </c>
      <c r="F237" s="186" t="s">
        <v>270</v>
      </c>
      <c r="G237" s="274"/>
      <c r="H237" s="151">
        <f>D38</f>
        <v>0</v>
      </c>
      <c r="I237" s="150">
        <f t="shared" ref="I237:AG237" si="39">IF(I1=$D$41,$D$40,0)</f>
        <v>0</v>
      </c>
      <c r="J237" s="150">
        <f t="shared" si="39"/>
        <v>0</v>
      </c>
      <c r="K237" s="150">
        <f t="shared" si="39"/>
        <v>0</v>
      </c>
      <c r="L237" s="150">
        <f t="shared" si="39"/>
        <v>0</v>
      </c>
      <c r="M237" s="150">
        <f t="shared" si="39"/>
        <v>0</v>
      </c>
      <c r="N237" s="150">
        <f t="shared" si="39"/>
        <v>0</v>
      </c>
      <c r="O237" s="150">
        <f t="shared" si="39"/>
        <v>0</v>
      </c>
      <c r="P237" s="150">
        <f t="shared" si="39"/>
        <v>0</v>
      </c>
      <c r="Q237" s="150">
        <f t="shared" si="39"/>
        <v>0</v>
      </c>
      <c r="R237" s="150">
        <f t="shared" si="39"/>
        <v>0</v>
      </c>
      <c r="S237" s="150">
        <f t="shared" si="39"/>
        <v>0</v>
      </c>
      <c r="T237" s="150">
        <f t="shared" si="39"/>
        <v>0</v>
      </c>
      <c r="U237" s="150">
        <f t="shared" si="39"/>
        <v>0</v>
      </c>
      <c r="V237" s="150">
        <f t="shared" si="39"/>
        <v>0</v>
      </c>
      <c r="W237" s="150">
        <f t="shared" si="39"/>
        <v>0</v>
      </c>
      <c r="X237" s="150">
        <f t="shared" si="39"/>
        <v>0</v>
      </c>
      <c r="Y237" s="150">
        <f t="shared" si="39"/>
        <v>0</v>
      </c>
      <c r="Z237" s="150">
        <f t="shared" si="39"/>
        <v>0</v>
      </c>
      <c r="AA237" s="150">
        <f t="shared" si="39"/>
        <v>0</v>
      </c>
      <c r="AB237" s="150">
        <f t="shared" si="39"/>
        <v>0</v>
      </c>
      <c r="AC237" s="150">
        <f t="shared" si="39"/>
        <v>0</v>
      </c>
      <c r="AD237" s="150">
        <f t="shared" si="39"/>
        <v>0</v>
      </c>
      <c r="AE237" s="150">
        <f t="shared" si="39"/>
        <v>0</v>
      </c>
      <c r="AF237" s="150">
        <f t="shared" si="39"/>
        <v>0</v>
      </c>
      <c r="AG237" s="150">
        <f t="shared" si="39"/>
        <v>0</v>
      </c>
      <c r="AH237" s="128"/>
    </row>
    <row r="238" spans="2:34" ht="14.5" outlineLevel="1" thickBot="1">
      <c r="C238" s="153"/>
      <c r="G238" s="128"/>
      <c r="I238" s="224"/>
      <c r="J238" s="224"/>
      <c r="K238" s="224"/>
      <c r="L238" s="224"/>
      <c r="M238" s="224"/>
      <c r="N238" s="224"/>
      <c r="O238" s="224"/>
      <c r="P238" s="224"/>
      <c r="Q238" s="224"/>
      <c r="R238" s="224"/>
      <c r="S238" s="224"/>
      <c r="T238" s="224"/>
      <c r="U238" s="224"/>
      <c r="V238" s="224"/>
      <c r="W238" s="224"/>
      <c r="X238" s="224"/>
      <c r="Y238" s="224"/>
      <c r="Z238" s="224"/>
      <c r="AA238" s="224"/>
      <c r="AB238" s="224"/>
      <c r="AH238" s="128"/>
    </row>
    <row r="239" spans="2:34" ht="14.5" outlineLevel="1" thickBot="1">
      <c r="B239" s="132"/>
      <c r="C239" s="132" t="s">
        <v>405</v>
      </c>
      <c r="D239" s="133"/>
      <c r="E239" s="133"/>
      <c r="F239" s="133"/>
      <c r="G239" s="226"/>
      <c r="H239" s="133"/>
      <c r="I239" s="133"/>
      <c r="J239" s="178"/>
      <c r="K239" s="178"/>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288"/>
    </row>
    <row r="240" spans="2:34" ht="14.5" outlineLevel="1" thickBot="1">
      <c r="C240" s="289"/>
      <c r="D240" s="286"/>
      <c r="E240" s="287"/>
      <c r="F240" s="287"/>
      <c r="G240" s="290"/>
      <c r="H240" s="277"/>
      <c r="I240" s="277"/>
      <c r="J240" s="277"/>
      <c r="K240" s="277"/>
      <c r="L240" s="277"/>
      <c r="M240" s="277"/>
      <c r="N240" s="277"/>
      <c r="O240" s="277"/>
      <c r="P240" s="277"/>
      <c r="Q240" s="277"/>
      <c r="R240" s="277"/>
      <c r="S240" s="277"/>
      <c r="T240" s="277"/>
      <c r="U240" s="277"/>
      <c r="V240" s="277"/>
      <c r="W240" s="277"/>
      <c r="X240" s="277"/>
      <c r="Y240" s="277"/>
      <c r="Z240" s="277"/>
      <c r="AA240" s="277"/>
      <c r="AB240" s="277"/>
      <c r="AC240" s="277"/>
      <c r="AD240" s="277"/>
      <c r="AE240" s="277"/>
      <c r="AF240" s="277"/>
      <c r="AG240" s="277"/>
      <c r="AH240" s="128"/>
    </row>
    <row r="241" spans="2:34" ht="14.5" outlineLevel="1" thickBot="1">
      <c r="B241" s="282"/>
      <c r="C241" s="282" t="s">
        <v>406</v>
      </c>
      <c r="D241" s="508">
        <v>0</v>
      </c>
      <c r="E241" s="186" t="s">
        <v>398</v>
      </c>
      <c r="G241" s="274"/>
      <c r="H241" s="151">
        <f t="shared" ref="H241:AE241" si="40">IF(H1&lt;=$D$242,H220*$D$241/Initial_ER,0)</f>
        <v>0</v>
      </c>
      <c r="I241" s="150">
        <f t="shared" si="40"/>
        <v>0</v>
      </c>
      <c r="J241" s="150">
        <f t="shared" si="40"/>
        <v>0</v>
      </c>
      <c r="K241" s="150">
        <f t="shared" si="40"/>
        <v>0</v>
      </c>
      <c r="L241" s="150">
        <f t="shared" si="40"/>
        <v>0</v>
      </c>
      <c r="M241" s="150">
        <f t="shared" si="40"/>
        <v>0</v>
      </c>
      <c r="N241" s="150">
        <f t="shared" si="40"/>
        <v>0</v>
      </c>
      <c r="O241" s="150">
        <f t="shared" si="40"/>
        <v>0</v>
      </c>
      <c r="P241" s="150">
        <f t="shared" si="40"/>
        <v>0</v>
      </c>
      <c r="Q241" s="150">
        <f t="shared" si="40"/>
        <v>0</v>
      </c>
      <c r="R241" s="150">
        <f t="shared" si="40"/>
        <v>0</v>
      </c>
      <c r="S241" s="150">
        <f t="shared" si="40"/>
        <v>0</v>
      </c>
      <c r="T241" s="150">
        <f t="shared" si="40"/>
        <v>0</v>
      </c>
      <c r="U241" s="150">
        <f t="shared" si="40"/>
        <v>0</v>
      </c>
      <c r="V241" s="150">
        <f t="shared" si="40"/>
        <v>0</v>
      </c>
      <c r="W241" s="150">
        <f t="shared" si="40"/>
        <v>0</v>
      </c>
      <c r="X241" s="150">
        <f t="shared" si="40"/>
        <v>0</v>
      </c>
      <c r="Y241" s="150">
        <f t="shared" si="40"/>
        <v>0</v>
      </c>
      <c r="Z241" s="150">
        <f t="shared" si="40"/>
        <v>0</v>
      </c>
      <c r="AA241" s="150">
        <f t="shared" si="40"/>
        <v>0</v>
      </c>
      <c r="AB241" s="150">
        <f t="shared" si="40"/>
        <v>0</v>
      </c>
      <c r="AC241" s="150">
        <f t="shared" si="40"/>
        <v>0</v>
      </c>
      <c r="AD241" s="150">
        <f t="shared" si="40"/>
        <v>0</v>
      </c>
      <c r="AE241" s="150">
        <f t="shared" si="40"/>
        <v>0</v>
      </c>
      <c r="AF241" s="150"/>
      <c r="AG241" s="150"/>
      <c r="AH241" s="128"/>
    </row>
    <row r="242" spans="2:34" ht="14.5" outlineLevel="1" thickBot="1">
      <c r="B242" s="282"/>
      <c r="C242" s="282" t="s">
        <v>407</v>
      </c>
      <c r="D242" s="508">
        <v>0</v>
      </c>
      <c r="E242" s="186" t="s">
        <v>258</v>
      </c>
      <c r="G242" s="274"/>
      <c r="H242" s="277"/>
      <c r="I242" s="277"/>
      <c r="J242" s="277"/>
      <c r="K242" s="277"/>
      <c r="L242" s="277"/>
      <c r="M242" s="277"/>
      <c r="N242" s="277"/>
      <c r="O242" s="277"/>
      <c r="P242" s="277"/>
      <c r="Q242" s="277"/>
      <c r="R242" s="277"/>
      <c r="S242" s="277"/>
      <c r="T242" s="277"/>
      <c r="U242" s="277"/>
      <c r="V242" s="277"/>
      <c r="W242" s="277"/>
      <c r="X242" s="277"/>
      <c r="Y242" s="277"/>
      <c r="Z242" s="277"/>
      <c r="AA242" s="277"/>
      <c r="AB242" s="277"/>
      <c r="AC242" s="277"/>
      <c r="AD242" s="277"/>
      <c r="AE242" s="277"/>
      <c r="AF242" s="277"/>
      <c r="AG242" s="277"/>
      <c r="AH242" s="274"/>
    </row>
    <row r="243" spans="2:34" ht="14.5" outlineLevel="1" thickBot="1">
      <c r="C243" s="285"/>
      <c r="D243" s="286"/>
      <c r="E243" s="287"/>
      <c r="F243" s="287"/>
      <c r="G243" s="274"/>
      <c r="H243" s="225"/>
      <c r="I243" s="225"/>
      <c r="J243" s="225"/>
      <c r="K243" s="225"/>
      <c r="L243" s="225"/>
      <c r="M243" s="225"/>
      <c r="N243" s="225"/>
      <c r="O243" s="225"/>
      <c r="P243" s="225"/>
      <c r="Q243" s="225"/>
      <c r="R243" s="225"/>
      <c r="S243" s="225"/>
      <c r="T243" s="225"/>
      <c r="U243" s="225"/>
      <c r="V243" s="225"/>
      <c r="W243" s="225"/>
      <c r="X243" s="225"/>
      <c r="Y243" s="225"/>
      <c r="Z243" s="225"/>
      <c r="AA243" s="225"/>
      <c r="AB243" s="225"/>
      <c r="AC243" s="225"/>
      <c r="AD243" s="225"/>
      <c r="AE243" s="225"/>
      <c r="AF243" s="225"/>
      <c r="AG243" s="225"/>
      <c r="AH243" s="128"/>
    </row>
    <row r="244" spans="2:34" ht="14.5" outlineLevel="1" thickBot="1">
      <c r="B244" s="132"/>
      <c r="C244" s="132" t="s">
        <v>560</v>
      </c>
      <c r="D244" s="133"/>
      <c r="E244" s="133"/>
      <c r="F244" s="133"/>
      <c r="G244" s="226"/>
      <c r="H244" s="133"/>
      <c r="I244" s="133"/>
      <c r="J244" s="178"/>
      <c r="K244" s="178"/>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288"/>
    </row>
    <row r="245" spans="2:34" ht="14.5" outlineLevel="1" thickBot="1">
      <c r="C245" s="289"/>
      <c r="D245" s="286"/>
      <c r="E245" s="287"/>
      <c r="F245" s="287"/>
      <c r="G245" s="290"/>
      <c r="H245" s="277"/>
      <c r="I245" s="277"/>
      <c r="J245" s="277"/>
      <c r="K245" s="277"/>
      <c r="L245" s="277"/>
      <c r="M245" s="277"/>
      <c r="N245" s="277"/>
      <c r="O245" s="277"/>
      <c r="P245" s="277"/>
      <c r="Q245" s="277"/>
      <c r="R245" s="277"/>
      <c r="S245" s="277"/>
      <c r="T245" s="277"/>
      <c r="U245" s="277"/>
      <c r="V245" s="277"/>
      <c r="W245" s="277"/>
      <c r="X245" s="277"/>
      <c r="Y245" s="277"/>
      <c r="Z245" s="277"/>
      <c r="AA245" s="277"/>
      <c r="AB245" s="277"/>
      <c r="AC245" s="277"/>
      <c r="AD245" s="277"/>
      <c r="AE245" s="277"/>
      <c r="AF245" s="277"/>
      <c r="AG245" s="277"/>
      <c r="AH245" s="128"/>
    </row>
    <row r="246" spans="2:34" ht="14.5" outlineLevel="1" thickBot="1">
      <c r="B246" s="282"/>
      <c r="C246" s="282" t="s">
        <v>561</v>
      </c>
      <c r="D246" s="508">
        <v>0</v>
      </c>
      <c r="E246" s="186" t="s">
        <v>270</v>
      </c>
      <c r="F246" s="277" t="s">
        <v>562</v>
      </c>
      <c r="G246" s="274"/>
      <c r="H246" s="277"/>
      <c r="J246" s="277"/>
      <c r="K246" s="277"/>
      <c r="L246" s="277"/>
      <c r="M246" s="277"/>
      <c r="N246" s="277"/>
      <c r="O246" s="277"/>
      <c r="P246" s="277"/>
      <c r="Q246" s="277"/>
      <c r="R246" s="277"/>
      <c r="S246" s="277"/>
      <c r="T246" s="277"/>
      <c r="U246" s="277"/>
      <c r="V246" s="277"/>
      <c r="W246" s="277"/>
      <c r="X246" s="277"/>
      <c r="Y246" s="277"/>
      <c r="Z246" s="277"/>
      <c r="AA246" s="277"/>
      <c r="AB246" s="277"/>
      <c r="AC246" s="277"/>
      <c r="AD246" s="277"/>
      <c r="AE246" s="277"/>
      <c r="AF246" s="277"/>
      <c r="AG246" s="277"/>
      <c r="AH246" s="128"/>
    </row>
    <row r="247" spans="2:34" ht="14.5" outlineLevel="1" thickBot="1">
      <c r="B247" s="282"/>
      <c r="C247" s="282" t="s">
        <v>264</v>
      </c>
      <c r="D247" s="291">
        <f>D25</f>
        <v>0.13</v>
      </c>
      <c r="E247" s="186" t="s">
        <v>261</v>
      </c>
      <c r="F247" s="277"/>
      <c r="H247" s="274">
        <f>D246*D247</f>
        <v>0</v>
      </c>
      <c r="J247" s="277"/>
      <c r="K247" s="277"/>
      <c r="L247" s="277"/>
      <c r="M247" s="277"/>
      <c r="N247" s="277"/>
      <c r="O247" s="277"/>
      <c r="P247" s="277"/>
      <c r="Q247" s="277"/>
      <c r="R247" s="277"/>
      <c r="S247" s="277"/>
      <c r="T247" s="277"/>
      <c r="U247" s="277"/>
      <c r="V247" s="277"/>
      <c r="W247" s="277"/>
      <c r="X247" s="277"/>
      <c r="Y247" s="277"/>
      <c r="Z247" s="277"/>
      <c r="AA247" s="277"/>
      <c r="AB247" s="277"/>
      <c r="AC247" s="277"/>
      <c r="AD247" s="277"/>
      <c r="AE247" s="277"/>
      <c r="AF247" s="277"/>
      <c r="AG247" s="277"/>
      <c r="AH247" s="274"/>
    </row>
    <row r="248" spans="2:34" ht="14.5" outlineLevel="1" thickBot="1">
      <c r="C248" s="285"/>
      <c r="D248" s="286"/>
      <c r="E248" s="287"/>
      <c r="F248" s="287"/>
      <c r="G248" s="274"/>
      <c r="H248" s="225"/>
      <c r="I248" s="225"/>
      <c r="J248" s="225"/>
      <c r="K248" s="225"/>
      <c r="L248" s="225"/>
      <c r="M248" s="225"/>
      <c r="N248" s="225"/>
      <c r="O248" s="225"/>
      <c r="P248" s="225"/>
      <c r="Q248" s="225"/>
      <c r="R248" s="225"/>
      <c r="S248" s="225"/>
      <c r="T248" s="225"/>
      <c r="U248" s="225"/>
      <c r="V248" s="225"/>
      <c r="W248" s="225"/>
      <c r="X248" s="225"/>
      <c r="Y248" s="225"/>
      <c r="Z248" s="225"/>
      <c r="AA248" s="225"/>
      <c r="AB248" s="225"/>
      <c r="AC248" s="225"/>
      <c r="AD248" s="225"/>
      <c r="AE248" s="225"/>
      <c r="AF248" s="225"/>
      <c r="AG248" s="225"/>
      <c r="AH248" s="128"/>
    </row>
    <row r="249" spans="2:34" ht="14.5" outlineLevel="1" thickBot="1">
      <c r="B249" s="132"/>
      <c r="C249" s="132" t="s">
        <v>408</v>
      </c>
      <c r="D249" s="133"/>
      <c r="E249" s="133"/>
      <c r="F249" s="133"/>
      <c r="G249" s="226"/>
      <c r="H249" s="133"/>
      <c r="I249" s="133"/>
      <c r="J249" s="178"/>
      <c r="K249" s="178"/>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288"/>
    </row>
    <row r="250" spans="2:34" ht="14.5" outlineLevel="1" thickBot="1">
      <c r="C250" s="289"/>
      <c r="D250" s="286"/>
      <c r="E250" s="287"/>
      <c r="F250" s="287"/>
      <c r="G250" s="290"/>
      <c r="H250" s="277"/>
      <c r="I250" s="277"/>
      <c r="J250" s="277"/>
      <c r="K250" s="277"/>
      <c r="L250" s="277"/>
      <c r="M250" s="277"/>
      <c r="N250" s="277"/>
      <c r="O250" s="277"/>
      <c r="P250" s="277"/>
      <c r="Q250" s="277"/>
      <c r="R250" s="277"/>
      <c r="S250" s="277"/>
      <c r="T250" s="277"/>
      <c r="U250" s="277"/>
      <c r="V250" s="277"/>
      <c r="W250" s="277"/>
      <c r="X250" s="277"/>
      <c r="Y250" s="277"/>
      <c r="Z250" s="277"/>
      <c r="AA250" s="277"/>
      <c r="AB250" s="277"/>
      <c r="AC250" s="277"/>
      <c r="AD250" s="277"/>
      <c r="AE250" s="277"/>
      <c r="AF250" s="277"/>
      <c r="AG250" s="277"/>
      <c r="AH250" s="128"/>
    </row>
    <row r="251" spans="2:34" ht="14.5" outlineLevel="1" thickBot="1">
      <c r="B251" s="282"/>
      <c r="C251" s="282" t="s">
        <v>409</v>
      </c>
      <c r="D251" s="507">
        <v>0.5</v>
      </c>
      <c r="E251" s="186" t="s">
        <v>261</v>
      </c>
      <c r="G251" s="274"/>
      <c r="H251" s="151">
        <f t="shared" ref="H251:AG251" si="41">IF(H1&lt;=$D$252,$D$251*H399,0)</f>
        <v>0</v>
      </c>
      <c r="I251" s="150">
        <f t="shared" si="41"/>
        <v>1869.0970714285713</v>
      </c>
      <c r="J251" s="150">
        <f t="shared" ca="1" si="41"/>
        <v>1574.8830024432004</v>
      </c>
      <c r="K251" s="150">
        <f t="shared" ca="1" si="41"/>
        <v>1245.363245179585</v>
      </c>
      <c r="L251" s="150">
        <f t="shared" ca="1" si="41"/>
        <v>876.30111704433568</v>
      </c>
      <c r="M251" s="150">
        <f t="shared" ca="1" si="41"/>
        <v>462.9515335328565</v>
      </c>
      <c r="N251" s="150">
        <f t="shared" si="41"/>
        <v>0</v>
      </c>
      <c r="O251" s="150">
        <f t="shared" si="41"/>
        <v>0</v>
      </c>
      <c r="P251" s="150">
        <f t="shared" si="41"/>
        <v>0</v>
      </c>
      <c r="Q251" s="150">
        <f t="shared" si="41"/>
        <v>0</v>
      </c>
      <c r="R251" s="150">
        <f t="shared" si="41"/>
        <v>0</v>
      </c>
      <c r="S251" s="150">
        <f t="shared" si="41"/>
        <v>0</v>
      </c>
      <c r="T251" s="150">
        <f t="shared" si="41"/>
        <v>0</v>
      </c>
      <c r="U251" s="150">
        <f t="shared" si="41"/>
        <v>0</v>
      </c>
      <c r="V251" s="150">
        <f t="shared" si="41"/>
        <v>0</v>
      </c>
      <c r="W251" s="150">
        <f t="shared" si="41"/>
        <v>0</v>
      </c>
      <c r="X251" s="150">
        <f t="shared" si="41"/>
        <v>0</v>
      </c>
      <c r="Y251" s="150">
        <f t="shared" si="41"/>
        <v>0</v>
      </c>
      <c r="Z251" s="150">
        <f t="shared" si="41"/>
        <v>0</v>
      </c>
      <c r="AA251" s="150">
        <f t="shared" si="41"/>
        <v>0</v>
      </c>
      <c r="AB251" s="150">
        <f t="shared" si="41"/>
        <v>0</v>
      </c>
      <c r="AC251" s="150">
        <f t="shared" si="41"/>
        <v>0</v>
      </c>
      <c r="AD251" s="150">
        <f t="shared" si="41"/>
        <v>0</v>
      </c>
      <c r="AE251" s="150">
        <f t="shared" si="41"/>
        <v>0</v>
      </c>
      <c r="AF251" s="150">
        <f t="shared" si="41"/>
        <v>0</v>
      </c>
      <c r="AG251" s="150">
        <f t="shared" si="41"/>
        <v>0</v>
      </c>
      <c r="AH251" s="128"/>
    </row>
    <row r="252" spans="2:34" ht="14.5" outlineLevel="1" thickBot="1">
      <c r="B252" s="282"/>
      <c r="C252" s="282" t="s">
        <v>407</v>
      </c>
      <c r="D252" s="508">
        <v>5</v>
      </c>
      <c r="E252" s="186" t="s">
        <v>258</v>
      </c>
      <c r="G252" s="274"/>
      <c r="H252" s="277"/>
      <c r="I252" s="277"/>
      <c r="J252" s="277"/>
      <c r="K252" s="277"/>
      <c r="L252" s="277"/>
      <c r="M252" s="277"/>
      <c r="N252" s="277"/>
      <c r="O252" s="277"/>
      <c r="P252" s="277"/>
      <c r="Q252" s="277"/>
      <c r="R252" s="277"/>
      <c r="S252" s="277"/>
      <c r="T252" s="277"/>
      <c r="U252" s="277"/>
      <c r="V252" s="277"/>
      <c r="W252" s="277"/>
      <c r="X252" s="277"/>
      <c r="Y252" s="277"/>
      <c r="Z252" s="277"/>
      <c r="AA252" s="277"/>
      <c r="AB252" s="277"/>
      <c r="AC252" s="277"/>
      <c r="AD252" s="277"/>
      <c r="AE252" s="277"/>
      <c r="AF252" s="277"/>
      <c r="AG252" s="277"/>
      <c r="AH252" s="274"/>
    </row>
    <row r="253" spans="2:34" s="153" customFormat="1" ht="15" outlineLevel="1" thickTop="1" thickBot="1">
      <c r="B253" s="292"/>
      <c r="C253" s="293" t="s">
        <v>410</v>
      </c>
      <c r="D253" s="294"/>
      <c r="E253" s="294"/>
      <c r="G253" s="184"/>
      <c r="H253" s="156">
        <f>H237+H241+H251+H247</f>
        <v>0</v>
      </c>
      <c r="I253" s="271">
        <f t="shared" ref="I253:AG253" si="42">I237+I241+I251</f>
        <v>1869.0970714285713</v>
      </c>
      <c r="J253" s="271">
        <f t="shared" ca="1" si="42"/>
        <v>1574.8830024432004</v>
      </c>
      <c r="K253" s="271">
        <f t="shared" ca="1" si="42"/>
        <v>1245.363245179585</v>
      </c>
      <c r="L253" s="271">
        <f t="shared" ca="1" si="42"/>
        <v>876.30111704433568</v>
      </c>
      <c r="M253" s="271">
        <f t="shared" ca="1" si="42"/>
        <v>462.9515335328565</v>
      </c>
      <c r="N253" s="271">
        <f t="shared" si="42"/>
        <v>0</v>
      </c>
      <c r="O253" s="271">
        <f t="shared" si="42"/>
        <v>0</v>
      </c>
      <c r="P253" s="271">
        <f t="shared" si="42"/>
        <v>0</v>
      </c>
      <c r="Q253" s="271">
        <f t="shared" si="42"/>
        <v>0</v>
      </c>
      <c r="R253" s="271">
        <f t="shared" si="42"/>
        <v>0</v>
      </c>
      <c r="S253" s="271">
        <f t="shared" si="42"/>
        <v>0</v>
      </c>
      <c r="T253" s="271">
        <f t="shared" si="42"/>
        <v>0</v>
      </c>
      <c r="U253" s="271">
        <f t="shared" si="42"/>
        <v>0</v>
      </c>
      <c r="V253" s="271">
        <f t="shared" si="42"/>
        <v>0</v>
      </c>
      <c r="W253" s="271">
        <f t="shared" si="42"/>
        <v>0</v>
      </c>
      <c r="X253" s="271">
        <f t="shared" si="42"/>
        <v>0</v>
      </c>
      <c r="Y253" s="271">
        <f t="shared" si="42"/>
        <v>0</v>
      </c>
      <c r="Z253" s="271">
        <f t="shared" si="42"/>
        <v>0</v>
      </c>
      <c r="AA253" s="271">
        <f t="shared" si="42"/>
        <v>0</v>
      </c>
      <c r="AB253" s="271">
        <f t="shared" si="42"/>
        <v>0</v>
      </c>
      <c r="AC253" s="271">
        <f t="shared" si="42"/>
        <v>0</v>
      </c>
      <c r="AD253" s="271">
        <f t="shared" si="42"/>
        <v>0</v>
      </c>
      <c r="AE253" s="271">
        <f t="shared" si="42"/>
        <v>0</v>
      </c>
      <c r="AF253" s="271">
        <f t="shared" si="42"/>
        <v>0</v>
      </c>
      <c r="AG253" s="271">
        <f t="shared" si="42"/>
        <v>0</v>
      </c>
      <c r="AH253" s="184"/>
    </row>
    <row r="254" spans="2:34" ht="15" outlineLevel="1" thickTop="1" thickBot="1">
      <c r="C254" s="295"/>
      <c r="D254" s="296"/>
      <c r="E254" s="296"/>
      <c r="G254" s="128"/>
      <c r="H254" s="296"/>
      <c r="I254" s="297"/>
      <c r="J254" s="297"/>
      <c r="K254" s="297"/>
      <c r="L254" s="297"/>
      <c r="M254" s="297"/>
      <c r="N254" s="297"/>
      <c r="O254" s="297"/>
      <c r="P254" s="297"/>
      <c r="Q254" s="297"/>
      <c r="R254" s="297"/>
      <c r="S254" s="297"/>
      <c r="T254" s="297"/>
      <c r="U254" s="297"/>
      <c r="V254" s="297"/>
      <c r="W254" s="297"/>
      <c r="X254" s="297"/>
      <c r="Y254" s="297"/>
      <c r="Z254" s="297"/>
      <c r="AA254" s="297"/>
      <c r="AB254" s="297"/>
      <c r="AC254" s="296"/>
      <c r="AD254" s="296"/>
      <c r="AE254" s="296"/>
      <c r="AF254" s="296"/>
      <c r="AG254" s="296"/>
    </row>
    <row r="255" spans="2:34" s="248" customFormat="1" ht="20.5" thickBot="1">
      <c r="B255" s="243"/>
      <c r="C255" s="298" t="s">
        <v>411</v>
      </c>
      <c r="D255" s="244"/>
      <c r="E255" s="244"/>
      <c r="F255" s="244"/>
      <c r="G255" s="245"/>
      <c r="H255" s="299">
        <f>H232+H253</f>
        <v>0</v>
      </c>
      <c r="I255" s="299">
        <f>I232+I253</f>
        <v>10677.894444405134</v>
      </c>
      <c r="J255" s="299">
        <f ca="1">J232+J253</f>
        <v>10330.827591181904</v>
      </c>
      <c r="K255" s="299">
        <f ca="1">K232+K253</f>
        <v>9948.7721663858556</v>
      </c>
      <c r="L255" s="299">
        <f t="shared" ref="L255:AG255" ca="1" si="43">L232+L253</f>
        <v>9527.4895847233674</v>
      </c>
      <c r="M255" s="299">
        <f t="shared" ca="1" si="43"/>
        <v>9062.2328704058145</v>
      </c>
      <c r="N255" s="299">
        <f t="shared" si="43"/>
        <v>8547.6856488517205</v>
      </c>
      <c r="O255" s="299">
        <f t="shared" si="43"/>
        <v>8496.3995349586112</v>
      </c>
      <c r="P255" s="299">
        <f t="shared" si="43"/>
        <v>8445.4211377488591</v>
      </c>
      <c r="Q255" s="299">
        <f t="shared" si="43"/>
        <v>8394.7486109223664</v>
      </c>
      <c r="R255" s="299">
        <f t="shared" si="43"/>
        <v>8344.3801192568317</v>
      </c>
      <c r="S255" s="299">
        <f t="shared" si="43"/>
        <v>8294.3138385412894</v>
      </c>
      <c r="T255" s="299">
        <f t="shared" si="43"/>
        <v>8244.5479555100428</v>
      </c>
      <c r="U255" s="299">
        <f t="shared" si="43"/>
        <v>8195.0806677769815</v>
      </c>
      <c r="V255" s="299">
        <f t="shared" si="43"/>
        <v>8145.9101837703201</v>
      </c>
      <c r="W255" s="299">
        <f t="shared" si="43"/>
        <v>8097.0347226676977</v>
      </c>
      <c r="X255" s="299">
        <f t="shared" si="43"/>
        <v>8048.4525143316923</v>
      </c>
      <c r="Y255" s="299">
        <f t="shared" si="43"/>
        <v>8000.1617992457013</v>
      </c>
      <c r="Z255" s="299">
        <f t="shared" si="43"/>
        <v>7952.1608284502272</v>
      </c>
      <c r="AA255" s="299">
        <f t="shared" si="43"/>
        <v>7904.4478634795259</v>
      </c>
      <c r="AB255" s="299">
        <f t="shared" si="43"/>
        <v>7857.0211762986492</v>
      </c>
      <c r="AC255" s="299">
        <f t="shared" si="43"/>
        <v>7809.8790492408571</v>
      </c>
      <c r="AD255" s="299">
        <f t="shared" si="43"/>
        <v>7763.0197749454119</v>
      </c>
      <c r="AE255" s="299">
        <f t="shared" si="43"/>
        <v>7716.4416562957394</v>
      </c>
      <c r="AF255" s="299">
        <f t="shared" si="43"/>
        <v>7670.1430063579646</v>
      </c>
      <c r="AG255" s="299">
        <f t="shared" si="43"/>
        <v>7624.1221483198169</v>
      </c>
    </row>
    <row r="257" spans="2:33" ht="14.5" thickBot="1"/>
    <row r="258" spans="2:33" ht="14.5" thickBot="1">
      <c r="B258" s="132"/>
      <c r="C258" s="132" t="s">
        <v>291</v>
      </c>
      <c r="D258" s="133"/>
      <c r="E258" s="133"/>
      <c r="F258" s="132"/>
      <c r="G258" s="300"/>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47"/>
    </row>
    <row r="259" spans="2:33" ht="14.5" thickBot="1">
      <c r="B259" s="186"/>
      <c r="C259" s="187" t="s">
        <v>412</v>
      </c>
      <c r="D259" s="205"/>
      <c r="E259" s="205"/>
      <c r="F259" s="186"/>
      <c r="G259" s="301"/>
      <c r="H259" s="150">
        <f t="shared" ref="H259:AB259" si="44">H203</f>
        <v>0</v>
      </c>
      <c r="I259" s="150">
        <f t="shared" si="44"/>
        <v>6630.0000000999999</v>
      </c>
      <c r="J259" s="150">
        <f t="shared" si="44"/>
        <v>6762.6000001023003</v>
      </c>
      <c r="K259" s="150">
        <f t="shared" si="44"/>
        <v>6897.8520001028119</v>
      </c>
      <c r="L259" s="150">
        <f t="shared" si="44"/>
        <v>7035.8090401009622</v>
      </c>
      <c r="M259" s="150">
        <f t="shared" si="44"/>
        <v>7176.5252209009623</v>
      </c>
      <c r="N259" s="150">
        <f t="shared" si="44"/>
        <v>7320.0557253169627</v>
      </c>
      <c r="O259" s="150">
        <f t="shared" si="44"/>
        <v>7466.4568398222927</v>
      </c>
      <c r="P259" s="150">
        <f t="shared" si="44"/>
        <v>7615.7859766172087</v>
      </c>
      <c r="Q259" s="150">
        <f t="shared" si="44"/>
        <v>7768.1016961475034</v>
      </c>
      <c r="R259" s="150">
        <f t="shared" si="44"/>
        <v>7923.4637300684044</v>
      </c>
      <c r="S259" s="150">
        <f t="shared" si="44"/>
        <v>8081.9330046677233</v>
      </c>
      <c r="T259" s="150">
        <f t="shared" si="44"/>
        <v>8243.5716647590289</v>
      </c>
      <c r="U259" s="150">
        <f t="shared" si="44"/>
        <v>8408.4430980521593</v>
      </c>
      <c r="V259" s="150">
        <f t="shared" si="44"/>
        <v>8576.6119600111524</v>
      </c>
      <c r="W259" s="150">
        <f t="shared" si="44"/>
        <v>8748.144199209326</v>
      </c>
      <c r="X259" s="150">
        <f t="shared" si="44"/>
        <v>8923.1070830889821</v>
      </c>
      <c r="Y259" s="150">
        <f t="shared" si="44"/>
        <v>9101.5692247507614</v>
      </c>
      <c r="Z259" s="150">
        <f t="shared" si="44"/>
        <v>9283.6006092457774</v>
      </c>
      <c r="AA259" s="150">
        <f t="shared" si="44"/>
        <v>9469.2726214306931</v>
      </c>
      <c r="AB259" s="150">
        <f t="shared" si="44"/>
        <v>9658.6580738593075</v>
      </c>
      <c r="AC259" s="150">
        <f>AC186</f>
        <v>9851.8312353364945</v>
      </c>
      <c r="AD259" s="150">
        <f>AD186</f>
        <v>10048.867860043225</v>
      </c>
      <c r="AE259" s="150">
        <f>AE186</f>
        <v>10249.84521724409</v>
      </c>
      <c r="AF259" s="150">
        <f>AF186</f>
        <v>10454.842121588972</v>
      </c>
      <c r="AG259" s="150">
        <f>AG186</f>
        <v>10663.938964020752</v>
      </c>
    </row>
    <row r="260" spans="2:33" ht="14.5" thickBot="1">
      <c r="B260" s="186"/>
      <c r="C260" s="187" t="s">
        <v>413</v>
      </c>
      <c r="D260" s="205"/>
      <c r="E260" s="205"/>
      <c r="F260" s="186"/>
      <c r="G260" s="301"/>
      <c r="H260" s="150">
        <f t="shared" ref="H260:AB260" si="45">SUM(H108)</f>
        <v>54590.414285714287</v>
      </c>
      <c r="I260" s="150">
        <f t="shared" si="45"/>
        <v>0</v>
      </c>
      <c r="J260" s="150">
        <f t="shared" si="45"/>
        <v>0</v>
      </c>
      <c r="K260" s="150">
        <f t="shared" si="45"/>
        <v>0</v>
      </c>
      <c r="L260" s="150">
        <f t="shared" si="45"/>
        <v>0</v>
      </c>
      <c r="M260" s="150">
        <f t="shared" si="45"/>
        <v>0</v>
      </c>
      <c r="N260" s="150">
        <f t="shared" si="45"/>
        <v>0</v>
      </c>
      <c r="O260" s="150">
        <f t="shared" si="45"/>
        <v>0</v>
      </c>
      <c r="P260" s="150">
        <f t="shared" si="45"/>
        <v>0</v>
      </c>
      <c r="Q260" s="150">
        <f t="shared" si="45"/>
        <v>0</v>
      </c>
      <c r="R260" s="150">
        <f t="shared" si="45"/>
        <v>0</v>
      </c>
      <c r="S260" s="150">
        <f t="shared" si="45"/>
        <v>0</v>
      </c>
      <c r="T260" s="150">
        <f t="shared" si="45"/>
        <v>0</v>
      </c>
      <c r="U260" s="150">
        <f t="shared" si="45"/>
        <v>0</v>
      </c>
      <c r="V260" s="150">
        <f t="shared" si="45"/>
        <v>0</v>
      </c>
      <c r="W260" s="150">
        <f t="shared" si="45"/>
        <v>6105.0792191634855</v>
      </c>
      <c r="X260" s="150">
        <f t="shared" si="45"/>
        <v>0</v>
      </c>
      <c r="Y260" s="150">
        <f t="shared" si="45"/>
        <v>0</v>
      </c>
      <c r="Z260" s="150">
        <f t="shared" si="45"/>
        <v>0</v>
      </c>
      <c r="AA260" s="150">
        <f t="shared" si="45"/>
        <v>0</v>
      </c>
      <c r="AB260" s="150">
        <f t="shared" si="45"/>
        <v>0</v>
      </c>
      <c r="AC260" s="150">
        <f>SUM(AC206:AC210)</f>
        <v>0</v>
      </c>
      <c r="AD260" s="150">
        <f>SUM(AD206:AD210)</f>
        <v>0</v>
      </c>
      <c r="AE260" s="150">
        <f>SUM(AE206:AE210)</f>
        <v>0</v>
      </c>
      <c r="AF260" s="150">
        <f>SUM(AF206:AF210)</f>
        <v>0</v>
      </c>
      <c r="AG260" s="150">
        <f>SUM(AG206:AG210)</f>
        <v>0</v>
      </c>
    </row>
    <row r="261" spans="2:33" ht="14.5" hidden="1" thickBot="1">
      <c r="B261" s="186"/>
      <c r="C261" s="187" t="s">
        <v>414</v>
      </c>
      <c r="D261" s="205"/>
      <c r="E261" s="205"/>
      <c r="F261" s="186"/>
      <c r="G261" s="301"/>
      <c r="H261" s="150">
        <f t="shared" ref="H261:AB261" si="46">H120</f>
        <v>383.17857142857144</v>
      </c>
      <c r="I261" s="150">
        <f t="shared" si="46"/>
        <v>0</v>
      </c>
      <c r="J261" s="150">
        <f t="shared" si="46"/>
        <v>0</v>
      </c>
      <c r="K261" s="150">
        <f t="shared" si="46"/>
        <v>0</v>
      </c>
      <c r="L261" s="150">
        <f t="shared" si="46"/>
        <v>0</v>
      </c>
      <c r="M261" s="150">
        <f t="shared" si="46"/>
        <v>0</v>
      </c>
      <c r="N261" s="150">
        <f t="shared" si="46"/>
        <v>0</v>
      </c>
      <c r="O261" s="150">
        <f t="shared" si="46"/>
        <v>0</v>
      </c>
      <c r="P261" s="150">
        <f t="shared" si="46"/>
        <v>0</v>
      </c>
      <c r="Q261" s="150">
        <f t="shared" si="46"/>
        <v>0</v>
      </c>
      <c r="R261" s="150">
        <f t="shared" si="46"/>
        <v>0</v>
      </c>
      <c r="S261" s="150">
        <f t="shared" si="46"/>
        <v>0</v>
      </c>
      <c r="T261" s="150">
        <f t="shared" si="46"/>
        <v>0</v>
      </c>
      <c r="U261" s="150">
        <f t="shared" si="46"/>
        <v>0</v>
      </c>
      <c r="V261" s="150">
        <f t="shared" si="46"/>
        <v>0</v>
      </c>
      <c r="W261" s="150">
        <f t="shared" si="46"/>
        <v>0</v>
      </c>
      <c r="X261" s="150">
        <f t="shared" si="46"/>
        <v>0</v>
      </c>
      <c r="Y261" s="150">
        <f t="shared" si="46"/>
        <v>0</v>
      </c>
      <c r="Z261" s="150">
        <f t="shared" si="46"/>
        <v>0</v>
      </c>
      <c r="AA261" s="150">
        <f t="shared" si="46"/>
        <v>0</v>
      </c>
      <c r="AB261" s="150">
        <f t="shared" si="46"/>
        <v>0</v>
      </c>
      <c r="AC261" s="150">
        <f>AC213</f>
        <v>0</v>
      </c>
      <c r="AD261" s="150">
        <f>AD213</f>
        <v>0</v>
      </c>
      <c r="AE261" s="150">
        <f>AE213</f>
        <v>0</v>
      </c>
      <c r="AF261" s="150">
        <f>AF213</f>
        <v>0</v>
      </c>
      <c r="AG261" s="150">
        <f>AG213</f>
        <v>0</v>
      </c>
    </row>
    <row r="262" spans="2:33" ht="14.5" hidden="1" thickBot="1">
      <c r="B262" s="186"/>
      <c r="C262" s="187" t="s">
        <v>415</v>
      </c>
      <c r="D262" s="205"/>
      <c r="E262" s="205"/>
      <c r="F262" s="186"/>
      <c r="G262" s="301"/>
      <c r="H262" s="150">
        <f t="shared" ref="H262:AG262" si="47">H126</f>
        <v>617.14285714285711</v>
      </c>
      <c r="I262" s="150">
        <f t="shared" si="47"/>
        <v>0</v>
      </c>
      <c r="J262" s="150">
        <f t="shared" si="47"/>
        <v>0</v>
      </c>
      <c r="K262" s="150">
        <f t="shared" si="47"/>
        <v>0</v>
      </c>
      <c r="L262" s="150">
        <f t="shared" si="47"/>
        <v>0</v>
      </c>
      <c r="M262" s="150">
        <f t="shared" si="47"/>
        <v>0</v>
      </c>
      <c r="N262" s="150">
        <f t="shared" si="47"/>
        <v>0</v>
      </c>
      <c r="O262" s="150">
        <f t="shared" si="47"/>
        <v>0</v>
      </c>
      <c r="P262" s="150">
        <f t="shared" si="47"/>
        <v>0</v>
      </c>
      <c r="Q262" s="150">
        <f t="shared" si="47"/>
        <v>0</v>
      </c>
      <c r="R262" s="150">
        <f t="shared" si="47"/>
        <v>0</v>
      </c>
      <c r="S262" s="150">
        <f t="shared" si="47"/>
        <v>0</v>
      </c>
      <c r="T262" s="150">
        <f t="shared" si="47"/>
        <v>0</v>
      </c>
      <c r="U262" s="150">
        <f t="shared" si="47"/>
        <v>0</v>
      </c>
      <c r="V262" s="150">
        <f t="shared" si="47"/>
        <v>0</v>
      </c>
      <c r="W262" s="150">
        <f t="shared" si="47"/>
        <v>0</v>
      </c>
      <c r="X262" s="150">
        <f t="shared" si="47"/>
        <v>0</v>
      </c>
      <c r="Y262" s="150">
        <f t="shared" si="47"/>
        <v>0</v>
      </c>
      <c r="Z262" s="150">
        <f t="shared" si="47"/>
        <v>0</v>
      </c>
      <c r="AA262" s="150">
        <f t="shared" si="47"/>
        <v>0</v>
      </c>
      <c r="AB262" s="150">
        <f t="shared" si="47"/>
        <v>0</v>
      </c>
      <c r="AC262" s="150">
        <f t="shared" si="47"/>
        <v>0</v>
      </c>
      <c r="AD262" s="150">
        <f t="shared" si="47"/>
        <v>0</v>
      </c>
      <c r="AE262" s="150">
        <f t="shared" si="47"/>
        <v>0</v>
      </c>
      <c r="AF262" s="150">
        <f t="shared" si="47"/>
        <v>0</v>
      </c>
      <c r="AG262" s="150">
        <f t="shared" si="47"/>
        <v>0</v>
      </c>
    </row>
    <row r="263" spans="2:33" ht="14.5" hidden="1" thickBot="1">
      <c r="B263" s="186"/>
      <c r="C263" s="187" t="s">
        <v>416</v>
      </c>
      <c r="D263" s="205"/>
      <c r="E263" s="205"/>
      <c r="F263" s="186"/>
      <c r="G263" s="301"/>
      <c r="H263" s="150">
        <f t="shared" ref="H263:AB263" si="48">H132</f>
        <v>0</v>
      </c>
      <c r="I263" s="150">
        <f t="shared" si="48"/>
        <v>0</v>
      </c>
      <c r="J263" s="150">
        <f t="shared" si="48"/>
        <v>0</v>
      </c>
      <c r="K263" s="150">
        <f t="shared" si="48"/>
        <v>0</v>
      </c>
      <c r="L263" s="150">
        <f t="shared" si="48"/>
        <v>0</v>
      </c>
      <c r="M263" s="150">
        <f t="shared" si="48"/>
        <v>0</v>
      </c>
      <c r="N263" s="150">
        <f t="shared" si="48"/>
        <v>0</v>
      </c>
      <c r="O263" s="150">
        <f t="shared" si="48"/>
        <v>0</v>
      </c>
      <c r="P263" s="150">
        <f t="shared" si="48"/>
        <v>0</v>
      </c>
      <c r="Q263" s="150">
        <f t="shared" si="48"/>
        <v>0</v>
      </c>
      <c r="R263" s="150">
        <f t="shared" si="48"/>
        <v>0</v>
      </c>
      <c r="S263" s="150">
        <f t="shared" si="48"/>
        <v>0</v>
      </c>
      <c r="T263" s="150">
        <f t="shared" si="48"/>
        <v>0</v>
      </c>
      <c r="U263" s="150">
        <f t="shared" si="48"/>
        <v>0</v>
      </c>
      <c r="V263" s="150">
        <f t="shared" si="48"/>
        <v>0</v>
      </c>
      <c r="W263" s="150">
        <f t="shared" si="48"/>
        <v>0</v>
      </c>
      <c r="X263" s="150">
        <f t="shared" si="48"/>
        <v>0</v>
      </c>
      <c r="Y263" s="150">
        <f t="shared" si="48"/>
        <v>0</v>
      </c>
      <c r="Z263" s="150">
        <f t="shared" si="48"/>
        <v>0</v>
      </c>
      <c r="AA263" s="150">
        <f t="shared" si="48"/>
        <v>0</v>
      </c>
      <c r="AB263" s="150">
        <f t="shared" si="48"/>
        <v>0</v>
      </c>
      <c r="AC263" s="150">
        <f>AC218</f>
        <v>0</v>
      </c>
      <c r="AD263" s="150">
        <f>AD218</f>
        <v>0</v>
      </c>
      <c r="AE263" s="150">
        <f>AE218</f>
        <v>0</v>
      </c>
      <c r="AF263" s="150">
        <f>AF218</f>
        <v>0</v>
      </c>
      <c r="AG263" s="150">
        <f>AG218</f>
        <v>0</v>
      </c>
    </row>
    <row r="264" spans="2:33" ht="14.5" thickBot="1">
      <c r="B264" s="186"/>
      <c r="C264" s="187" t="s">
        <v>417</v>
      </c>
      <c r="D264" s="205"/>
      <c r="E264" s="205"/>
      <c r="F264" s="186"/>
      <c r="G264" s="301"/>
      <c r="H264" s="150">
        <f>H144+H70</f>
        <v>6712.5</v>
      </c>
      <c r="I264" s="150">
        <f t="shared" ref="I264:AG264" si="49">I144</f>
        <v>0</v>
      </c>
      <c r="J264" s="150">
        <f t="shared" si="49"/>
        <v>0</v>
      </c>
      <c r="K264" s="150">
        <f t="shared" si="49"/>
        <v>0</v>
      </c>
      <c r="L264" s="150">
        <f t="shared" si="49"/>
        <v>0</v>
      </c>
      <c r="M264" s="150">
        <f t="shared" si="49"/>
        <v>0</v>
      </c>
      <c r="N264" s="150">
        <f t="shared" si="49"/>
        <v>0</v>
      </c>
      <c r="O264" s="150">
        <f t="shared" si="49"/>
        <v>0</v>
      </c>
      <c r="P264" s="150">
        <f t="shared" si="49"/>
        <v>0</v>
      </c>
      <c r="Q264" s="150">
        <f t="shared" si="49"/>
        <v>0</v>
      </c>
      <c r="R264" s="150">
        <f t="shared" si="49"/>
        <v>0</v>
      </c>
      <c r="S264" s="150">
        <f t="shared" si="49"/>
        <v>0</v>
      </c>
      <c r="T264" s="150">
        <f t="shared" si="49"/>
        <v>0</v>
      </c>
      <c r="U264" s="150">
        <f t="shared" si="49"/>
        <v>0</v>
      </c>
      <c r="V264" s="150">
        <f t="shared" si="49"/>
        <v>0</v>
      </c>
      <c r="W264" s="150">
        <f t="shared" si="49"/>
        <v>0</v>
      </c>
      <c r="X264" s="150">
        <f t="shared" si="49"/>
        <v>0</v>
      </c>
      <c r="Y264" s="150">
        <f t="shared" si="49"/>
        <v>0</v>
      </c>
      <c r="Z264" s="150">
        <f t="shared" si="49"/>
        <v>0</v>
      </c>
      <c r="AA264" s="150">
        <f t="shared" si="49"/>
        <v>0</v>
      </c>
      <c r="AB264" s="150">
        <f t="shared" si="49"/>
        <v>0</v>
      </c>
      <c r="AC264" s="150">
        <f t="shared" si="49"/>
        <v>0</v>
      </c>
      <c r="AD264" s="150">
        <f t="shared" si="49"/>
        <v>0</v>
      </c>
      <c r="AE264" s="150">
        <f t="shared" si="49"/>
        <v>0</v>
      </c>
      <c r="AF264" s="150">
        <f t="shared" si="49"/>
        <v>0</v>
      </c>
      <c r="AG264" s="150">
        <f t="shared" si="49"/>
        <v>0</v>
      </c>
    </row>
    <row r="265" spans="2:33" ht="14.25" customHeight="1" thickBot="1">
      <c r="B265" s="186"/>
      <c r="C265" s="173" t="s">
        <v>418</v>
      </c>
      <c r="D265" s="174"/>
      <c r="E265" s="174"/>
      <c r="F265" s="470">
        <f>SUM(H265:AG265)</f>
        <v>280769.20210003707</v>
      </c>
      <c r="G265" s="302"/>
      <c r="H265" s="271">
        <f>SUM(H259:H264)</f>
        <v>62303.235714285714</v>
      </c>
      <c r="I265" s="271">
        <f t="shared" ref="I265:AG265" si="50">SUM(I259:I264)</f>
        <v>6630.0000000999999</v>
      </c>
      <c r="J265" s="271">
        <f t="shared" si="50"/>
        <v>6762.6000001023003</v>
      </c>
      <c r="K265" s="271">
        <f t="shared" si="50"/>
        <v>6897.8520001028119</v>
      </c>
      <c r="L265" s="271">
        <f t="shared" si="50"/>
        <v>7035.8090401009622</v>
      </c>
      <c r="M265" s="271">
        <f t="shared" si="50"/>
        <v>7176.5252209009623</v>
      </c>
      <c r="N265" s="271">
        <f t="shared" si="50"/>
        <v>7320.0557253169627</v>
      </c>
      <c r="O265" s="271">
        <f t="shared" si="50"/>
        <v>7466.4568398222927</v>
      </c>
      <c r="P265" s="271">
        <f t="shared" si="50"/>
        <v>7615.7859766172087</v>
      </c>
      <c r="Q265" s="271">
        <f t="shared" si="50"/>
        <v>7768.1016961475034</v>
      </c>
      <c r="R265" s="271">
        <f t="shared" si="50"/>
        <v>7923.4637300684044</v>
      </c>
      <c r="S265" s="271">
        <f t="shared" si="50"/>
        <v>8081.9330046677233</v>
      </c>
      <c r="T265" s="271">
        <f t="shared" si="50"/>
        <v>8243.5716647590289</v>
      </c>
      <c r="U265" s="271">
        <f t="shared" si="50"/>
        <v>8408.4430980521593</v>
      </c>
      <c r="V265" s="271">
        <f t="shared" si="50"/>
        <v>8576.6119600111524</v>
      </c>
      <c r="W265" s="271">
        <f t="shared" si="50"/>
        <v>14853.223418372811</v>
      </c>
      <c r="X265" s="271">
        <f t="shared" si="50"/>
        <v>8923.1070830889821</v>
      </c>
      <c r="Y265" s="271">
        <f t="shared" si="50"/>
        <v>9101.5692247507614</v>
      </c>
      <c r="Z265" s="271">
        <f t="shared" si="50"/>
        <v>9283.6006092457774</v>
      </c>
      <c r="AA265" s="271">
        <f t="shared" si="50"/>
        <v>9469.2726214306931</v>
      </c>
      <c r="AB265" s="271">
        <f t="shared" si="50"/>
        <v>9658.6580738593075</v>
      </c>
      <c r="AC265" s="271">
        <f t="shared" si="50"/>
        <v>9851.8312353364945</v>
      </c>
      <c r="AD265" s="271">
        <f t="shared" si="50"/>
        <v>10048.867860043225</v>
      </c>
      <c r="AE265" s="271">
        <f t="shared" si="50"/>
        <v>10249.84521724409</v>
      </c>
      <c r="AF265" s="271">
        <f t="shared" si="50"/>
        <v>10454.842121588972</v>
      </c>
      <c r="AG265" s="271">
        <f t="shared" si="50"/>
        <v>10663.938964020752</v>
      </c>
    </row>
    <row r="266" spans="2:33" ht="14.5" thickBot="1"/>
    <row r="267" spans="2:33" ht="14.5" thickBot="1">
      <c r="B267" s="132"/>
      <c r="C267" s="132" t="s">
        <v>378</v>
      </c>
      <c r="D267" s="133"/>
      <c r="E267" s="133"/>
      <c r="F267" s="132"/>
      <c r="G267" s="300"/>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47"/>
    </row>
    <row r="268" spans="2:33" ht="14.5" thickBot="1">
      <c r="B268" s="186"/>
      <c r="C268" s="187" t="s">
        <v>419</v>
      </c>
      <c r="D268" s="205"/>
      <c r="E268" s="205"/>
      <c r="F268" s="186"/>
      <c r="G268" s="301"/>
      <c r="H268" s="150"/>
      <c r="I268" s="150">
        <f t="shared" ref="I268:AG268" si="51">I228+I224</f>
        <v>8808.7973729765617</v>
      </c>
      <c r="J268" s="150">
        <f t="shared" si="51"/>
        <v>8755.9445887387028</v>
      </c>
      <c r="K268" s="150">
        <f t="shared" si="51"/>
        <v>8703.40892120627</v>
      </c>
      <c r="L268" s="150">
        <f t="shared" si="51"/>
        <v>8651.1884676790323</v>
      </c>
      <c r="M268" s="150">
        <f t="shared" si="51"/>
        <v>8599.2813368729585</v>
      </c>
      <c r="N268" s="150">
        <f t="shared" si="51"/>
        <v>8547.6856488517205</v>
      </c>
      <c r="O268" s="150">
        <f t="shared" si="51"/>
        <v>8496.3995349586112</v>
      </c>
      <c r="P268" s="150">
        <f t="shared" si="51"/>
        <v>8445.4211377488591</v>
      </c>
      <c r="Q268" s="150">
        <f t="shared" si="51"/>
        <v>8394.7486109223664</v>
      </c>
      <c r="R268" s="150">
        <f t="shared" si="51"/>
        <v>8344.3801192568317</v>
      </c>
      <c r="S268" s="150">
        <f t="shared" si="51"/>
        <v>8294.3138385412894</v>
      </c>
      <c r="T268" s="150">
        <f t="shared" si="51"/>
        <v>8244.5479555100428</v>
      </c>
      <c r="U268" s="150">
        <f t="shared" si="51"/>
        <v>8195.0806677769815</v>
      </c>
      <c r="V268" s="150">
        <f t="shared" si="51"/>
        <v>8145.9101837703201</v>
      </c>
      <c r="W268" s="150">
        <f t="shared" si="51"/>
        <v>8097.0347226676977</v>
      </c>
      <c r="X268" s="150">
        <f t="shared" si="51"/>
        <v>8048.4525143316923</v>
      </c>
      <c r="Y268" s="150">
        <f t="shared" si="51"/>
        <v>8000.1617992457013</v>
      </c>
      <c r="Z268" s="150">
        <f t="shared" si="51"/>
        <v>7952.1608284502272</v>
      </c>
      <c r="AA268" s="150">
        <f t="shared" si="51"/>
        <v>7904.4478634795259</v>
      </c>
      <c r="AB268" s="150">
        <f t="shared" si="51"/>
        <v>7857.0211762986492</v>
      </c>
      <c r="AC268" s="150">
        <f t="shared" si="51"/>
        <v>7809.8790492408571</v>
      </c>
      <c r="AD268" s="150">
        <f t="shared" si="51"/>
        <v>7763.0197749454119</v>
      </c>
      <c r="AE268" s="150">
        <f t="shared" si="51"/>
        <v>7716.4416562957394</v>
      </c>
      <c r="AF268" s="150">
        <f t="shared" si="51"/>
        <v>7670.1430063579646</v>
      </c>
      <c r="AG268" s="150">
        <f t="shared" si="51"/>
        <v>7624.1221483198169</v>
      </c>
    </row>
    <row r="269" spans="2:33" ht="14.5" thickBot="1">
      <c r="B269" s="186"/>
      <c r="C269" s="187" t="s">
        <v>420</v>
      </c>
      <c r="D269" s="205"/>
      <c r="E269" s="205"/>
      <c r="F269" s="186"/>
      <c r="G269" s="301"/>
      <c r="H269" s="150">
        <f t="shared" ref="H269:AB269" si="52">H253</f>
        <v>0</v>
      </c>
      <c r="I269" s="150">
        <f t="shared" si="52"/>
        <v>1869.0970714285713</v>
      </c>
      <c r="J269" s="150">
        <f t="shared" ca="1" si="52"/>
        <v>1574.8830024432004</v>
      </c>
      <c r="K269" s="150">
        <f t="shared" ca="1" si="52"/>
        <v>1245.363245179585</v>
      </c>
      <c r="L269" s="150">
        <f t="shared" ca="1" si="52"/>
        <v>876.30111704433568</v>
      </c>
      <c r="M269" s="150">
        <f t="shared" ca="1" si="52"/>
        <v>462.9515335328565</v>
      </c>
      <c r="N269" s="150">
        <f t="shared" si="52"/>
        <v>0</v>
      </c>
      <c r="O269" s="150">
        <f t="shared" si="52"/>
        <v>0</v>
      </c>
      <c r="P269" s="150">
        <f t="shared" si="52"/>
        <v>0</v>
      </c>
      <c r="Q269" s="150">
        <f t="shared" si="52"/>
        <v>0</v>
      </c>
      <c r="R269" s="150">
        <f t="shared" si="52"/>
        <v>0</v>
      </c>
      <c r="S269" s="150">
        <f t="shared" si="52"/>
        <v>0</v>
      </c>
      <c r="T269" s="150">
        <f t="shared" si="52"/>
        <v>0</v>
      </c>
      <c r="U269" s="150">
        <f t="shared" si="52"/>
        <v>0</v>
      </c>
      <c r="V269" s="150">
        <f t="shared" si="52"/>
        <v>0</v>
      </c>
      <c r="W269" s="150">
        <f t="shared" si="52"/>
        <v>0</v>
      </c>
      <c r="X269" s="150">
        <f t="shared" si="52"/>
        <v>0</v>
      </c>
      <c r="Y269" s="150">
        <f t="shared" si="52"/>
        <v>0</v>
      </c>
      <c r="Z269" s="150">
        <f t="shared" si="52"/>
        <v>0</v>
      </c>
      <c r="AA269" s="150">
        <f t="shared" si="52"/>
        <v>0</v>
      </c>
      <c r="AB269" s="150">
        <f t="shared" si="52"/>
        <v>0</v>
      </c>
      <c r="AC269" s="150">
        <f>AC185</f>
        <v>0.02</v>
      </c>
      <c r="AD269" s="150">
        <f>AD185</f>
        <v>0.02</v>
      </c>
      <c r="AE269" s="150">
        <f>AE185</f>
        <v>0.02</v>
      </c>
      <c r="AF269" s="150">
        <f>AF185</f>
        <v>0.02</v>
      </c>
      <c r="AG269" s="150">
        <f>AG185</f>
        <v>0.02</v>
      </c>
    </row>
    <row r="270" spans="2:33" ht="14.5" thickBot="1">
      <c r="B270" s="186"/>
      <c r="C270" s="173" t="s">
        <v>411</v>
      </c>
      <c r="D270" s="205"/>
      <c r="E270" s="205"/>
      <c r="F270" s="470">
        <f ca="1">SUM(H270:AG270)</f>
        <v>211098.6888940724</v>
      </c>
      <c r="G270" s="302"/>
      <c r="H270" s="271">
        <f t="shared" ref="H270:AG270" si="53">SUM(H268:H269)</f>
        <v>0</v>
      </c>
      <c r="I270" s="271">
        <f t="shared" si="53"/>
        <v>10677.894444405134</v>
      </c>
      <c r="J270" s="271">
        <f t="shared" ca="1" si="53"/>
        <v>10330.827591181904</v>
      </c>
      <c r="K270" s="271">
        <f t="shared" ca="1" si="53"/>
        <v>9948.7721663858556</v>
      </c>
      <c r="L270" s="271">
        <f t="shared" ca="1" si="53"/>
        <v>9527.4895847233674</v>
      </c>
      <c r="M270" s="271">
        <f t="shared" ca="1" si="53"/>
        <v>9062.2328704058145</v>
      </c>
      <c r="N270" s="271">
        <f t="shared" si="53"/>
        <v>8547.6856488517205</v>
      </c>
      <c r="O270" s="271">
        <f t="shared" si="53"/>
        <v>8496.3995349586112</v>
      </c>
      <c r="P270" s="271">
        <f t="shared" si="53"/>
        <v>8445.4211377488591</v>
      </c>
      <c r="Q270" s="271">
        <f t="shared" si="53"/>
        <v>8394.7486109223664</v>
      </c>
      <c r="R270" s="271">
        <f t="shared" si="53"/>
        <v>8344.3801192568317</v>
      </c>
      <c r="S270" s="271">
        <f t="shared" si="53"/>
        <v>8294.3138385412894</v>
      </c>
      <c r="T270" s="271">
        <f t="shared" si="53"/>
        <v>8244.5479555100428</v>
      </c>
      <c r="U270" s="271">
        <f t="shared" si="53"/>
        <v>8195.0806677769815</v>
      </c>
      <c r="V270" s="271">
        <f t="shared" si="53"/>
        <v>8145.9101837703201</v>
      </c>
      <c r="W270" s="271">
        <f t="shared" si="53"/>
        <v>8097.0347226676977</v>
      </c>
      <c r="X270" s="271">
        <f t="shared" si="53"/>
        <v>8048.4525143316923</v>
      </c>
      <c r="Y270" s="271">
        <f t="shared" si="53"/>
        <v>8000.1617992457013</v>
      </c>
      <c r="Z270" s="271">
        <f t="shared" si="53"/>
        <v>7952.1608284502272</v>
      </c>
      <c r="AA270" s="271">
        <f t="shared" si="53"/>
        <v>7904.4478634795259</v>
      </c>
      <c r="AB270" s="271">
        <f t="shared" si="53"/>
        <v>7857.0211762986492</v>
      </c>
      <c r="AC270" s="271">
        <f t="shared" si="53"/>
        <v>7809.8990492408575</v>
      </c>
      <c r="AD270" s="271">
        <f t="shared" si="53"/>
        <v>7763.0397749454123</v>
      </c>
      <c r="AE270" s="271">
        <f t="shared" si="53"/>
        <v>7716.4616562957399</v>
      </c>
      <c r="AF270" s="271">
        <f t="shared" si="53"/>
        <v>7670.1630063579651</v>
      </c>
      <c r="AG270" s="271">
        <f t="shared" si="53"/>
        <v>7624.1421483198174</v>
      </c>
    </row>
    <row r="271" spans="2:33" ht="13.5" customHeight="1" thickBot="1"/>
    <row r="272" spans="2:33" ht="14.5" thickBot="1">
      <c r="B272" s="186"/>
      <c r="C272" s="303" t="s">
        <v>421</v>
      </c>
      <c r="D272" s="304">
        <f ca="1">SUM(H255:AG255)</f>
        <v>211098.5888940724</v>
      </c>
      <c r="E272" s="148" t="s">
        <v>270</v>
      </c>
    </row>
    <row r="273" spans="2:33" ht="14.5" thickBot="1">
      <c r="B273" s="186"/>
      <c r="C273" s="303" t="s">
        <v>422</v>
      </c>
      <c r="D273" s="304">
        <f>SUM(H205:AG205)</f>
        <v>280769.20210003707</v>
      </c>
      <c r="E273" s="148" t="s">
        <v>270</v>
      </c>
    </row>
    <row r="274" spans="2:33" ht="14.5" thickBot="1">
      <c r="B274" s="186"/>
      <c r="C274" s="303" t="s">
        <v>292</v>
      </c>
      <c r="D274" s="304">
        <f>SUM(H260:H264)</f>
        <v>62303.235714285714</v>
      </c>
      <c r="E274" s="148" t="s">
        <v>270</v>
      </c>
    </row>
    <row r="276" spans="2:33" ht="14.5" thickBot="1"/>
    <row r="277" spans="2:33" ht="31.5" customHeight="1" thickBot="1">
      <c r="B277" s="28"/>
      <c r="C277" s="305" t="s">
        <v>423</v>
      </c>
      <c r="D277" s="625"/>
      <c r="E277" s="625"/>
      <c r="F277" s="625"/>
      <c r="G277" s="625"/>
      <c r="H277" s="625"/>
      <c r="I277" s="306"/>
      <c r="J277" s="306"/>
      <c r="K277" s="306"/>
      <c r="L277" s="306"/>
      <c r="M277" s="306"/>
      <c r="N277" s="306"/>
      <c r="O277" s="306"/>
      <c r="P277" s="306"/>
      <c r="Q277" s="306"/>
      <c r="R277" s="306"/>
      <c r="S277" s="306"/>
      <c r="T277" s="306"/>
      <c r="U277" s="306"/>
      <c r="V277" s="306"/>
      <c r="W277" s="306"/>
      <c r="X277" s="306"/>
      <c r="Y277" s="306"/>
      <c r="Z277" s="306"/>
      <c r="AA277" s="306"/>
      <c r="AB277" s="306"/>
      <c r="AC277" s="306"/>
      <c r="AD277" s="306"/>
      <c r="AE277" s="306"/>
      <c r="AF277" s="306"/>
      <c r="AG277" s="306"/>
    </row>
    <row r="278" spans="2:33">
      <c r="F278" s="128"/>
    </row>
    <row r="279" spans="2:33" s="248" customFormat="1" ht="31">
      <c r="B279" s="307"/>
      <c r="C279" s="130" t="s">
        <v>424</v>
      </c>
      <c r="D279" s="308"/>
      <c r="E279" s="308"/>
      <c r="F279" s="309"/>
      <c r="G279" s="310" t="str">
        <f>F2</f>
        <v>Calendar Year</v>
      </c>
      <c r="H279" s="310">
        <f t="shared" ref="H279:AG279" si="54">H2</f>
        <v>2025</v>
      </c>
      <c r="I279" s="310">
        <f t="shared" si="54"/>
        <v>2026</v>
      </c>
      <c r="J279" s="310">
        <f t="shared" si="54"/>
        <v>2027</v>
      </c>
      <c r="K279" s="310">
        <f t="shared" si="54"/>
        <v>2028</v>
      </c>
      <c r="L279" s="310">
        <f t="shared" si="54"/>
        <v>2029</v>
      </c>
      <c r="M279" s="310">
        <f t="shared" si="54"/>
        <v>2030</v>
      </c>
      <c r="N279" s="310">
        <f t="shared" si="54"/>
        <v>2031</v>
      </c>
      <c r="O279" s="310">
        <f t="shared" si="54"/>
        <v>2032</v>
      </c>
      <c r="P279" s="310">
        <f t="shared" si="54"/>
        <v>2033</v>
      </c>
      <c r="Q279" s="310">
        <f t="shared" si="54"/>
        <v>2034</v>
      </c>
      <c r="R279" s="310">
        <f t="shared" si="54"/>
        <v>2035</v>
      </c>
      <c r="S279" s="310">
        <f t="shared" si="54"/>
        <v>2036</v>
      </c>
      <c r="T279" s="310">
        <f t="shared" si="54"/>
        <v>2037</v>
      </c>
      <c r="U279" s="310">
        <f t="shared" si="54"/>
        <v>2038</v>
      </c>
      <c r="V279" s="310">
        <f t="shared" si="54"/>
        <v>2039</v>
      </c>
      <c r="W279" s="310">
        <f t="shared" si="54"/>
        <v>2040</v>
      </c>
      <c r="X279" s="310">
        <f t="shared" si="54"/>
        <v>2041</v>
      </c>
      <c r="Y279" s="310">
        <f t="shared" si="54"/>
        <v>2042</v>
      </c>
      <c r="Z279" s="310">
        <f t="shared" si="54"/>
        <v>2043</v>
      </c>
      <c r="AA279" s="310">
        <f t="shared" si="54"/>
        <v>2044</v>
      </c>
      <c r="AB279" s="310">
        <f t="shared" si="54"/>
        <v>2045</v>
      </c>
      <c r="AC279" s="310">
        <f t="shared" si="54"/>
        <v>2046</v>
      </c>
      <c r="AD279" s="310">
        <f t="shared" si="54"/>
        <v>2047</v>
      </c>
      <c r="AE279" s="310">
        <f t="shared" si="54"/>
        <v>2048</v>
      </c>
      <c r="AF279" s="310">
        <f t="shared" si="54"/>
        <v>2049</v>
      </c>
      <c r="AG279" s="310">
        <f t="shared" si="54"/>
        <v>2050</v>
      </c>
    </row>
    <row r="280" spans="2:33" ht="14.5" outlineLevel="1" thickBot="1">
      <c r="H280" s="140"/>
      <c r="I280" s="140"/>
      <c r="J280" s="140"/>
      <c r="K280" s="140"/>
      <c r="L280" s="140"/>
      <c r="M280" s="140"/>
      <c r="N280" s="140"/>
      <c r="O280" s="140"/>
      <c r="P280" s="140"/>
      <c r="Q280" s="140"/>
      <c r="R280" s="140"/>
      <c r="S280" s="140"/>
      <c r="T280" s="140"/>
      <c r="U280" s="140"/>
      <c r="V280" s="140"/>
      <c r="W280" s="140"/>
      <c r="X280" s="140"/>
      <c r="Y280" s="140"/>
      <c r="Z280" s="140"/>
      <c r="AA280" s="140"/>
      <c r="AB280" s="140"/>
      <c r="AC280" s="140"/>
      <c r="AD280" s="140"/>
      <c r="AE280" s="140"/>
      <c r="AF280" s="140"/>
      <c r="AG280" s="140"/>
    </row>
    <row r="281" spans="2:33" ht="52.5" outlineLevel="1" thickBot="1">
      <c r="D281" s="311" t="s">
        <v>425</v>
      </c>
      <c r="E281" s="311" t="s">
        <v>305</v>
      </c>
      <c r="F281" s="312"/>
      <c r="G281" s="311" t="s">
        <v>426</v>
      </c>
      <c r="H281" s="311" t="s">
        <v>427</v>
      </c>
      <c r="I281" s="313"/>
    </row>
    <row r="282" spans="2:33" ht="14.5" outlineLevel="1" thickBot="1">
      <c r="B282" s="132"/>
      <c r="C282" s="132" t="s">
        <v>297</v>
      </c>
      <c r="D282" s="133"/>
      <c r="E282" s="133"/>
      <c r="F282" s="312"/>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47"/>
    </row>
    <row r="283" spans="2:33" ht="15.75" customHeight="1" outlineLevel="1" thickBot="1">
      <c r="B283" s="186"/>
      <c r="C283" s="186" t="str">
        <f>C74</f>
        <v>Solar PV Panels</v>
      </c>
      <c r="D283" s="214">
        <f>IF(G283="Yes",E78,0)</f>
        <v>25250</v>
      </c>
      <c r="E283" s="214">
        <f>D283*E80</f>
        <v>17675</v>
      </c>
      <c r="F283" s="314"/>
      <c r="G283" s="506" t="s">
        <v>428</v>
      </c>
      <c r="H283" s="157">
        <v>25</v>
      </c>
      <c r="I283" s="150">
        <f t="shared" ref="I283:X289" si="55">IF((I$279-$H$279)/$H283&lt;=1,$D283/$H283,$E283/$H283)</f>
        <v>1010</v>
      </c>
      <c r="J283" s="150">
        <f t="shared" si="55"/>
        <v>1010</v>
      </c>
      <c r="K283" s="150">
        <f t="shared" si="55"/>
        <v>1010</v>
      </c>
      <c r="L283" s="150">
        <f t="shared" si="55"/>
        <v>1010</v>
      </c>
      <c r="M283" s="150">
        <f t="shared" si="55"/>
        <v>1010</v>
      </c>
      <c r="N283" s="150">
        <f t="shared" si="55"/>
        <v>1010</v>
      </c>
      <c r="O283" s="150">
        <f t="shared" si="55"/>
        <v>1010</v>
      </c>
      <c r="P283" s="150">
        <f t="shared" si="55"/>
        <v>1010</v>
      </c>
      <c r="Q283" s="150">
        <f t="shared" si="55"/>
        <v>1010</v>
      </c>
      <c r="R283" s="150">
        <f t="shared" si="55"/>
        <v>1010</v>
      </c>
      <c r="S283" s="150">
        <f>IF((S$279-$H$279)/$H283&lt;=1,$D283/$H283,$E283/$H283)</f>
        <v>1010</v>
      </c>
      <c r="T283" s="150">
        <f t="shared" ref="S283:AG289" si="56">IF((T$279-$H$279)/$H283&lt;=1,$D283/$H283,$E283/$H283)</f>
        <v>1010</v>
      </c>
      <c r="U283" s="150">
        <f t="shared" si="56"/>
        <v>1010</v>
      </c>
      <c r="V283" s="150">
        <f t="shared" si="56"/>
        <v>1010</v>
      </c>
      <c r="W283" s="150">
        <f t="shared" si="56"/>
        <v>1010</v>
      </c>
      <c r="X283" s="150">
        <f t="shared" si="56"/>
        <v>1010</v>
      </c>
      <c r="Y283" s="150">
        <f t="shared" si="56"/>
        <v>1010</v>
      </c>
      <c r="Z283" s="150">
        <f t="shared" si="56"/>
        <v>1010</v>
      </c>
      <c r="AA283" s="150">
        <f t="shared" si="56"/>
        <v>1010</v>
      </c>
      <c r="AB283" s="150">
        <f t="shared" si="56"/>
        <v>1010</v>
      </c>
      <c r="AC283" s="150">
        <f t="shared" si="56"/>
        <v>1010</v>
      </c>
      <c r="AD283" s="150">
        <f t="shared" si="56"/>
        <v>1010</v>
      </c>
      <c r="AE283" s="150">
        <f t="shared" si="56"/>
        <v>1010</v>
      </c>
      <c r="AF283" s="150">
        <f t="shared" si="56"/>
        <v>1010</v>
      </c>
      <c r="AG283" s="150">
        <f t="shared" si="56"/>
        <v>1010</v>
      </c>
    </row>
    <row r="284" spans="2:33" ht="14.5" outlineLevel="1" thickBot="1">
      <c r="B284" s="186"/>
      <c r="C284" s="186" t="str">
        <f>C84</f>
        <v>Solar PV Inverter / Converter</v>
      </c>
      <c r="D284" s="214">
        <f>IF(G284="Yes",E84,0)</f>
        <v>16857.142857142859</v>
      </c>
      <c r="E284" s="214">
        <f>D284*E87</f>
        <v>6105.0792191634855</v>
      </c>
      <c r="F284" s="314"/>
      <c r="G284" s="506" t="s">
        <v>428</v>
      </c>
      <c r="H284" s="157">
        <f>IF(E86&gt;0,E86,$D$18)</f>
        <v>15</v>
      </c>
      <c r="I284" s="150">
        <f t="shared" si="55"/>
        <v>1123.8095238095239</v>
      </c>
      <c r="J284" s="150">
        <f t="shared" si="55"/>
        <v>1123.8095238095239</v>
      </c>
      <c r="K284" s="150">
        <f t="shared" si="55"/>
        <v>1123.8095238095239</v>
      </c>
      <c r="L284" s="150">
        <f t="shared" si="55"/>
        <v>1123.8095238095239</v>
      </c>
      <c r="M284" s="150">
        <f t="shared" si="55"/>
        <v>1123.8095238095239</v>
      </c>
      <c r="N284" s="150">
        <f t="shared" si="55"/>
        <v>1123.8095238095239</v>
      </c>
      <c r="O284" s="150">
        <f t="shared" si="55"/>
        <v>1123.8095238095239</v>
      </c>
      <c r="P284" s="150">
        <f t="shared" si="55"/>
        <v>1123.8095238095239</v>
      </c>
      <c r="Q284" s="150">
        <f t="shared" si="55"/>
        <v>1123.8095238095239</v>
      </c>
      <c r="R284" s="150">
        <f t="shared" si="55"/>
        <v>1123.8095238095239</v>
      </c>
      <c r="S284" s="150">
        <f t="shared" si="56"/>
        <v>1123.8095238095239</v>
      </c>
      <c r="T284" s="150">
        <f t="shared" si="56"/>
        <v>1123.8095238095239</v>
      </c>
      <c r="U284" s="150">
        <f t="shared" si="56"/>
        <v>1123.8095238095239</v>
      </c>
      <c r="V284" s="150">
        <f t="shared" si="56"/>
        <v>1123.8095238095239</v>
      </c>
      <c r="W284" s="150">
        <f t="shared" si="56"/>
        <v>1123.8095238095239</v>
      </c>
      <c r="X284" s="150">
        <f t="shared" si="56"/>
        <v>407.0052812775657</v>
      </c>
      <c r="Y284" s="150">
        <f t="shared" si="56"/>
        <v>407.0052812775657</v>
      </c>
      <c r="Z284" s="150">
        <f t="shared" si="56"/>
        <v>407.0052812775657</v>
      </c>
      <c r="AA284" s="150">
        <f t="shared" si="56"/>
        <v>407.0052812775657</v>
      </c>
      <c r="AB284" s="150">
        <f t="shared" si="56"/>
        <v>407.0052812775657</v>
      </c>
      <c r="AC284" s="150">
        <f t="shared" si="56"/>
        <v>407.0052812775657</v>
      </c>
      <c r="AD284" s="150">
        <f t="shared" si="56"/>
        <v>407.0052812775657</v>
      </c>
      <c r="AE284" s="150">
        <f t="shared" si="56"/>
        <v>407.0052812775657</v>
      </c>
      <c r="AF284" s="150">
        <f t="shared" si="56"/>
        <v>407.0052812775657</v>
      </c>
      <c r="AG284" s="150">
        <f t="shared" si="56"/>
        <v>407.0052812775657</v>
      </c>
    </row>
    <row r="285" spans="2:33" ht="14.5" outlineLevel="1" thickBot="1">
      <c r="B285" s="186"/>
      <c r="C285" s="186" t="str">
        <f>C89</f>
        <v>Battery Storage System</v>
      </c>
      <c r="D285" s="214">
        <f>IF(G285="Yes",E90,0)</f>
        <v>0</v>
      </c>
      <c r="E285" s="214">
        <f>D285*E92</f>
        <v>0</v>
      </c>
      <c r="F285" s="314"/>
      <c r="G285" s="506" t="s">
        <v>428</v>
      </c>
      <c r="H285" s="157">
        <f>IF(E91&gt;0,E91,$D$18)</f>
        <v>16</v>
      </c>
      <c r="I285" s="150">
        <f t="shared" si="55"/>
        <v>0</v>
      </c>
      <c r="J285" s="150">
        <f t="shared" si="55"/>
        <v>0</v>
      </c>
      <c r="K285" s="150">
        <f t="shared" si="55"/>
        <v>0</v>
      </c>
      <c r="L285" s="150">
        <f t="shared" si="55"/>
        <v>0</v>
      </c>
      <c r="M285" s="150">
        <f t="shared" si="55"/>
        <v>0</v>
      </c>
      <c r="N285" s="150">
        <f t="shared" si="55"/>
        <v>0</v>
      </c>
      <c r="O285" s="150">
        <f t="shared" si="55"/>
        <v>0</v>
      </c>
      <c r="P285" s="150">
        <f t="shared" si="55"/>
        <v>0</v>
      </c>
      <c r="Q285" s="150">
        <f t="shared" si="55"/>
        <v>0</v>
      </c>
      <c r="R285" s="150">
        <f t="shared" si="55"/>
        <v>0</v>
      </c>
      <c r="S285" s="150">
        <f t="shared" si="56"/>
        <v>0</v>
      </c>
      <c r="T285" s="150">
        <f t="shared" si="56"/>
        <v>0</v>
      </c>
      <c r="U285" s="150">
        <f t="shared" si="56"/>
        <v>0</v>
      </c>
      <c r="V285" s="150">
        <f t="shared" si="56"/>
        <v>0</v>
      </c>
      <c r="W285" s="150">
        <f t="shared" si="56"/>
        <v>0</v>
      </c>
      <c r="X285" s="150">
        <f t="shared" si="56"/>
        <v>0</v>
      </c>
      <c r="Y285" s="150">
        <f t="shared" si="56"/>
        <v>0</v>
      </c>
      <c r="Z285" s="150">
        <f t="shared" si="56"/>
        <v>0</v>
      </c>
      <c r="AA285" s="150">
        <f t="shared" si="56"/>
        <v>0</v>
      </c>
      <c r="AB285" s="150">
        <f t="shared" si="56"/>
        <v>0</v>
      </c>
      <c r="AC285" s="150">
        <f t="shared" si="56"/>
        <v>0</v>
      </c>
      <c r="AD285" s="150">
        <f t="shared" si="56"/>
        <v>0</v>
      </c>
      <c r="AE285" s="150">
        <f t="shared" si="56"/>
        <v>0</v>
      </c>
      <c r="AF285" s="150">
        <f t="shared" si="56"/>
        <v>0</v>
      </c>
      <c r="AG285" s="150">
        <f t="shared" si="56"/>
        <v>0</v>
      </c>
    </row>
    <row r="286" spans="2:33" ht="14.5" outlineLevel="1" thickBot="1">
      <c r="B286" s="186"/>
      <c r="C286" s="186" t="str">
        <f>C94</f>
        <v>Battery Inverter / Converter</v>
      </c>
      <c r="D286" s="214">
        <f>IF(G286="Yes",E94,0)</f>
        <v>0</v>
      </c>
      <c r="E286" s="214">
        <f>E96*D286</f>
        <v>0</v>
      </c>
      <c r="F286" s="314"/>
      <c r="G286" s="506" t="s">
        <v>428</v>
      </c>
      <c r="H286" s="157">
        <f>IF(E95&gt;0,E95,$D$18)</f>
        <v>16</v>
      </c>
      <c r="I286" s="150">
        <f t="shared" si="55"/>
        <v>0</v>
      </c>
      <c r="J286" s="150">
        <f t="shared" si="55"/>
        <v>0</v>
      </c>
      <c r="K286" s="150">
        <f t="shared" si="55"/>
        <v>0</v>
      </c>
      <c r="L286" s="150">
        <f t="shared" si="55"/>
        <v>0</v>
      </c>
      <c r="M286" s="150">
        <f t="shared" si="55"/>
        <v>0</v>
      </c>
      <c r="N286" s="150">
        <f t="shared" si="55"/>
        <v>0</v>
      </c>
      <c r="O286" s="150">
        <f t="shared" si="55"/>
        <v>0</v>
      </c>
      <c r="P286" s="150">
        <f t="shared" si="55"/>
        <v>0</v>
      </c>
      <c r="Q286" s="150">
        <f t="shared" si="55"/>
        <v>0</v>
      </c>
      <c r="R286" s="150">
        <f t="shared" si="55"/>
        <v>0</v>
      </c>
      <c r="S286" s="150">
        <f t="shared" si="55"/>
        <v>0</v>
      </c>
      <c r="T286" s="150">
        <f t="shared" si="55"/>
        <v>0</v>
      </c>
      <c r="U286" s="150">
        <f t="shared" si="55"/>
        <v>0</v>
      </c>
      <c r="V286" s="150">
        <f t="shared" si="55"/>
        <v>0</v>
      </c>
      <c r="W286" s="150">
        <f t="shared" si="55"/>
        <v>0</v>
      </c>
      <c r="X286" s="150">
        <f t="shared" si="55"/>
        <v>0</v>
      </c>
      <c r="Y286" s="150">
        <f t="shared" si="56"/>
        <v>0</v>
      </c>
      <c r="Z286" s="150">
        <f t="shared" si="56"/>
        <v>0</v>
      </c>
      <c r="AA286" s="150">
        <f t="shared" si="56"/>
        <v>0</v>
      </c>
      <c r="AB286" s="150">
        <f t="shared" si="56"/>
        <v>0</v>
      </c>
      <c r="AC286" s="150">
        <f t="shared" si="56"/>
        <v>0</v>
      </c>
      <c r="AD286" s="150">
        <f t="shared" si="56"/>
        <v>0</v>
      </c>
      <c r="AE286" s="150">
        <f t="shared" si="56"/>
        <v>0</v>
      </c>
      <c r="AF286" s="150">
        <f t="shared" si="56"/>
        <v>0</v>
      </c>
      <c r="AG286" s="150">
        <f t="shared" si="56"/>
        <v>0</v>
      </c>
    </row>
    <row r="287" spans="2:33" ht="14.5" outlineLevel="1" thickBot="1">
      <c r="B287" s="186"/>
      <c r="C287" s="186" t="str">
        <f>C98</f>
        <v>Diesel Genset (Optional)</v>
      </c>
      <c r="D287" s="214">
        <f>IF(G287="Yes",E99,0)</f>
        <v>0</v>
      </c>
      <c r="E287" s="214">
        <f>E101*D287</f>
        <v>0</v>
      </c>
      <c r="F287" s="314"/>
      <c r="G287" s="506" t="s">
        <v>428</v>
      </c>
      <c r="H287" s="157">
        <f>IF(E100&gt;0,E100,$D$18)</f>
        <v>8</v>
      </c>
      <c r="I287" s="150">
        <f t="shared" si="55"/>
        <v>0</v>
      </c>
      <c r="J287" s="150">
        <f t="shared" si="55"/>
        <v>0</v>
      </c>
      <c r="K287" s="150">
        <f t="shared" si="55"/>
        <v>0</v>
      </c>
      <c r="L287" s="150">
        <f t="shared" si="55"/>
        <v>0</v>
      </c>
      <c r="M287" s="150">
        <f t="shared" si="55"/>
        <v>0</v>
      </c>
      <c r="N287" s="150">
        <f t="shared" si="55"/>
        <v>0</v>
      </c>
      <c r="O287" s="150">
        <f t="shared" si="55"/>
        <v>0</v>
      </c>
      <c r="P287" s="150">
        <f t="shared" si="55"/>
        <v>0</v>
      </c>
      <c r="Q287" s="150">
        <f t="shared" si="55"/>
        <v>0</v>
      </c>
      <c r="R287" s="150">
        <f t="shared" si="55"/>
        <v>0</v>
      </c>
      <c r="S287" s="150">
        <f t="shared" si="56"/>
        <v>0</v>
      </c>
      <c r="T287" s="150">
        <f t="shared" si="56"/>
        <v>0</v>
      </c>
      <c r="U287" s="150">
        <f t="shared" si="56"/>
        <v>0</v>
      </c>
      <c r="V287" s="150">
        <f t="shared" si="56"/>
        <v>0</v>
      </c>
      <c r="W287" s="150">
        <f t="shared" si="56"/>
        <v>0</v>
      </c>
      <c r="X287" s="150">
        <f t="shared" si="56"/>
        <v>0</v>
      </c>
      <c r="Y287" s="150">
        <f t="shared" si="56"/>
        <v>0</v>
      </c>
      <c r="Z287" s="150">
        <f t="shared" si="56"/>
        <v>0</v>
      </c>
      <c r="AA287" s="150">
        <f t="shared" si="56"/>
        <v>0</v>
      </c>
      <c r="AB287" s="150">
        <f t="shared" si="56"/>
        <v>0</v>
      </c>
      <c r="AC287" s="150">
        <f t="shared" si="56"/>
        <v>0</v>
      </c>
      <c r="AD287" s="150">
        <f t="shared" si="56"/>
        <v>0</v>
      </c>
      <c r="AE287" s="150">
        <f t="shared" si="56"/>
        <v>0</v>
      </c>
      <c r="AF287" s="150">
        <f t="shared" si="56"/>
        <v>0</v>
      </c>
      <c r="AG287" s="150">
        <f t="shared" si="56"/>
        <v>0</v>
      </c>
    </row>
    <row r="288" spans="2:33" ht="14.5" outlineLevel="1" thickBot="1">
      <c r="B288" s="186"/>
      <c r="C288" s="186" t="str">
        <f>C102</f>
        <v>Mounting Structure</v>
      </c>
      <c r="D288" s="214">
        <f>IF(G288="Yes",E103,0)</f>
        <v>6492.8571428571431</v>
      </c>
      <c r="E288" s="214">
        <f>E105*D288</f>
        <v>5843.5714285714294</v>
      </c>
      <c r="F288" s="314"/>
      <c r="G288" s="506" t="s">
        <v>428</v>
      </c>
      <c r="H288" s="157">
        <f>IF(E104&gt;0,E104,$D$18)</f>
        <v>26</v>
      </c>
      <c r="I288" s="150">
        <f t="shared" si="55"/>
        <v>249.72527472527474</v>
      </c>
      <c r="J288" s="150">
        <f t="shared" si="55"/>
        <v>249.72527472527474</v>
      </c>
      <c r="K288" s="150">
        <f t="shared" si="55"/>
        <v>249.72527472527474</v>
      </c>
      <c r="L288" s="150">
        <f t="shared" si="55"/>
        <v>249.72527472527474</v>
      </c>
      <c r="M288" s="150">
        <f t="shared" si="55"/>
        <v>249.72527472527474</v>
      </c>
      <c r="N288" s="150">
        <f t="shared" si="55"/>
        <v>249.72527472527474</v>
      </c>
      <c r="O288" s="150">
        <f t="shared" si="55"/>
        <v>249.72527472527474</v>
      </c>
      <c r="P288" s="150">
        <f t="shared" si="55"/>
        <v>249.72527472527474</v>
      </c>
      <c r="Q288" s="150">
        <f t="shared" si="55"/>
        <v>249.72527472527474</v>
      </c>
      <c r="R288" s="150">
        <f t="shared" si="55"/>
        <v>249.72527472527474</v>
      </c>
      <c r="S288" s="150">
        <f t="shared" si="55"/>
        <v>249.72527472527474</v>
      </c>
      <c r="T288" s="150">
        <f t="shared" si="55"/>
        <v>249.72527472527474</v>
      </c>
      <c r="U288" s="150">
        <f t="shared" si="55"/>
        <v>249.72527472527474</v>
      </c>
      <c r="V288" s="150">
        <f t="shared" si="55"/>
        <v>249.72527472527474</v>
      </c>
      <c r="W288" s="150">
        <f t="shared" si="55"/>
        <v>249.72527472527474</v>
      </c>
      <c r="X288" s="150">
        <f t="shared" si="55"/>
        <v>249.72527472527474</v>
      </c>
      <c r="Y288" s="150">
        <f t="shared" si="56"/>
        <v>249.72527472527474</v>
      </c>
      <c r="Z288" s="150">
        <f t="shared" si="56"/>
        <v>249.72527472527474</v>
      </c>
      <c r="AA288" s="150">
        <f t="shared" si="56"/>
        <v>249.72527472527474</v>
      </c>
      <c r="AB288" s="150">
        <f t="shared" si="56"/>
        <v>249.72527472527474</v>
      </c>
      <c r="AC288" s="150">
        <f t="shared" si="56"/>
        <v>249.72527472527474</v>
      </c>
      <c r="AD288" s="150">
        <f t="shared" si="56"/>
        <v>249.72527472527474</v>
      </c>
      <c r="AE288" s="150">
        <f t="shared" si="56"/>
        <v>249.72527472527474</v>
      </c>
      <c r="AF288" s="150">
        <f t="shared" si="56"/>
        <v>249.72527472527474</v>
      </c>
      <c r="AG288" s="150">
        <f t="shared" si="56"/>
        <v>249.72527472527474</v>
      </c>
    </row>
    <row r="289" spans="2:33" ht="14.5" outlineLevel="1" thickBot="1">
      <c r="B289" s="186"/>
      <c r="C289" s="186" t="str">
        <f>C107</f>
        <v>Balance of System (BoS)</v>
      </c>
      <c r="D289" s="214">
        <f>IF(G289="Yes",E107,0)</f>
        <v>5990.4142857142861</v>
      </c>
      <c r="E289" s="214">
        <v>0</v>
      </c>
      <c r="F289" s="314"/>
      <c r="G289" s="506" t="s">
        <v>428</v>
      </c>
      <c r="H289" s="157">
        <f>$D$18</f>
        <v>25</v>
      </c>
      <c r="I289" s="150">
        <f t="shared" si="55"/>
        <v>239.61657142857143</v>
      </c>
      <c r="J289" s="150">
        <f t="shared" si="55"/>
        <v>239.61657142857143</v>
      </c>
      <c r="K289" s="150">
        <f t="shared" si="55"/>
        <v>239.61657142857143</v>
      </c>
      <c r="L289" s="150">
        <f t="shared" si="55"/>
        <v>239.61657142857143</v>
      </c>
      <c r="M289" s="150">
        <f t="shared" si="55"/>
        <v>239.61657142857143</v>
      </c>
      <c r="N289" s="150">
        <f t="shared" si="55"/>
        <v>239.61657142857143</v>
      </c>
      <c r="O289" s="150">
        <f t="shared" si="55"/>
        <v>239.61657142857143</v>
      </c>
      <c r="P289" s="150">
        <f t="shared" si="55"/>
        <v>239.61657142857143</v>
      </c>
      <c r="Q289" s="150">
        <f t="shared" si="55"/>
        <v>239.61657142857143</v>
      </c>
      <c r="R289" s="150">
        <f t="shared" si="55"/>
        <v>239.61657142857143</v>
      </c>
      <c r="S289" s="150">
        <f t="shared" si="56"/>
        <v>239.61657142857143</v>
      </c>
      <c r="T289" s="150">
        <f t="shared" si="56"/>
        <v>239.61657142857143</v>
      </c>
      <c r="U289" s="150">
        <f t="shared" si="56"/>
        <v>239.61657142857143</v>
      </c>
      <c r="V289" s="150">
        <f t="shared" si="56"/>
        <v>239.61657142857143</v>
      </c>
      <c r="W289" s="150">
        <f t="shared" si="56"/>
        <v>239.61657142857143</v>
      </c>
      <c r="X289" s="150">
        <f t="shared" si="56"/>
        <v>239.61657142857143</v>
      </c>
      <c r="Y289" s="150">
        <f t="shared" si="56"/>
        <v>239.61657142857143</v>
      </c>
      <c r="Z289" s="150">
        <f t="shared" si="56"/>
        <v>239.61657142857143</v>
      </c>
      <c r="AA289" s="150">
        <f t="shared" si="56"/>
        <v>239.61657142857143</v>
      </c>
      <c r="AB289" s="150">
        <f t="shared" si="56"/>
        <v>239.61657142857143</v>
      </c>
      <c r="AC289" s="150">
        <f t="shared" si="56"/>
        <v>239.61657142857143</v>
      </c>
      <c r="AD289" s="150">
        <f t="shared" si="56"/>
        <v>239.61657142857143</v>
      </c>
      <c r="AE289" s="150">
        <f t="shared" si="56"/>
        <v>239.61657142857143</v>
      </c>
      <c r="AF289" s="150">
        <f t="shared" si="56"/>
        <v>239.61657142857143</v>
      </c>
      <c r="AG289" s="150">
        <f t="shared" si="56"/>
        <v>239.61657142857143</v>
      </c>
    </row>
    <row r="290" spans="2:33" s="128" customFormat="1" ht="14.5" outlineLevel="1" thickBot="1">
      <c r="B290" s="315"/>
      <c r="C290" s="315"/>
      <c r="D290" s="316"/>
      <c r="E290" s="316"/>
      <c r="F290" s="317"/>
      <c r="G290" s="91"/>
      <c r="H290" s="318"/>
      <c r="I290" s="319"/>
      <c r="J290" s="319"/>
      <c r="K290" s="319"/>
      <c r="L290" s="319"/>
      <c r="M290" s="319"/>
      <c r="N290" s="319"/>
      <c r="O290" s="319"/>
      <c r="P290" s="319"/>
      <c r="Q290" s="319"/>
      <c r="R290" s="319"/>
      <c r="S290" s="319"/>
      <c r="T290" s="319"/>
      <c r="U290" s="319"/>
      <c r="V290" s="319"/>
      <c r="W290" s="319"/>
      <c r="X290" s="319"/>
      <c r="Y290" s="319"/>
      <c r="Z290" s="319"/>
      <c r="AA290" s="319"/>
      <c r="AB290" s="319"/>
      <c r="AC290" s="319"/>
      <c r="AD290" s="319"/>
      <c r="AE290" s="319"/>
      <c r="AF290" s="319"/>
      <c r="AG290" s="319"/>
    </row>
    <row r="291" spans="2:33" ht="14.5" outlineLevel="1" thickBot="1">
      <c r="B291" s="132"/>
      <c r="C291" s="132" t="s">
        <v>316</v>
      </c>
      <c r="D291" s="132"/>
      <c r="E291" s="133"/>
      <c r="F291" s="176"/>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row>
    <row r="292" spans="2:33" ht="14.5" outlineLevel="1" thickBot="1">
      <c r="B292" s="186"/>
      <c r="C292" s="186" t="str">
        <f>C111</f>
        <v>Poles</v>
      </c>
      <c r="D292" s="214">
        <f>IF(G292="Yes",E112,0)</f>
        <v>0</v>
      </c>
      <c r="E292" s="320"/>
      <c r="F292" s="314"/>
      <c r="G292" s="506" t="s">
        <v>428</v>
      </c>
      <c r="H292" s="157">
        <f t="shared" ref="H292:H297" si="57">$D$18</f>
        <v>25</v>
      </c>
      <c r="I292" s="150">
        <f t="shared" ref="I292:X297" si="58">IF((I$279-$H$279)/$H292&lt;=1,$D292/$H292,$E292/$H292)</f>
        <v>0</v>
      </c>
      <c r="J292" s="150">
        <f t="shared" si="58"/>
        <v>0</v>
      </c>
      <c r="K292" s="150">
        <f t="shared" si="58"/>
        <v>0</v>
      </c>
      <c r="L292" s="150">
        <f t="shared" si="58"/>
        <v>0</v>
      </c>
      <c r="M292" s="150">
        <f t="shared" si="58"/>
        <v>0</v>
      </c>
      <c r="N292" s="150">
        <f t="shared" si="58"/>
        <v>0</v>
      </c>
      <c r="O292" s="150">
        <f t="shared" si="58"/>
        <v>0</v>
      </c>
      <c r="P292" s="150">
        <f t="shared" si="58"/>
        <v>0</v>
      </c>
      <c r="Q292" s="150">
        <f t="shared" si="58"/>
        <v>0</v>
      </c>
      <c r="R292" s="150">
        <f t="shared" si="58"/>
        <v>0</v>
      </c>
      <c r="S292" s="150">
        <f t="shared" si="58"/>
        <v>0</v>
      </c>
      <c r="T292" s="150">
        <f t="shared" si="58"/>
        <v>0</v>
      </c>
      <c r="U292" s="150">
        <f t="shared" si="58"/>
        <v>0</v>
      </c>
      <c r="V292" s="150">
        <f t="shared" si="58"/>
        <v>0</v>
      </c>
      <c r="W292" s="150">
        <f t="shared" si="58"/>
        <v>0</v>
      </c>
      <c r="X292" s="150">
        <f t="shared" si="58"/>
        <v>0</v>
      </c>
      <c r="Y292" s="150">
        <f t="shared" ref="Y292:AG297" si="59">IF((Y$279-$H$279)/$H292&lt;=1,$D292/$H292,$E292/$H292)</f>
        <v>0</v>
      </c>
      <c r="Z292" s="150">
        <f t="shared" si="59"/>
        <v>0</v>
      </c>
      <c r="AA292" s="150">
        <f t="shared" si="59"/>
        <v>0</v>
      </c>
      <c r="AB292" s="150">
        <f t="shared" si="59"/>
        <v>0</v>
      </c>
      <c r="AC292" s="150">
        <f t="shared" si="59"/>
        <v>0</v>
      </c>
      <c r="AD292" s="150">
        <f t="shared" si="59"/>
        <v>0</v>
      </c>
      <c r="AE292" s="150">
        <f t="shared" si="59"/>
        <v>0</v>
      </c>
      <c r="AF292" s="150">
        <f t="shared" si="59"/>
        <v>0</v>
      </c>
      <c r="AG292" s="150">
        <f t="shared" si="59"/>
        <v>0</v>
      </c>
    </row>
    <row r="293" spans="2:33" ht="14.5" outlineLevel="1" thickBot="1">
      <c r="B293" s="186"/>
      <c r="C293" s="186" t="str">
        <f>C113</f>
        <v>Cables</v>
      </c>
      <c r="D293" s="214">
        <f>IF(G293="Yes",E114,0)</f>
        <v>383.17857142857144</v>
      </c>
      <c r="E293" s="320"/>
      <c r="F293" s="314"/>
      <c r="G293" s="506" t="s">
        <v>428</v>
      </c>
      <c r="H293" s="157">
        <f t="shared" si="57"/>
        <v>25</v>
      </c>
      <c r="I293" s="150">
        <f t="shared" si="58"/>
        <v>15.327142857142858</v>
      </c>
      <c r="J293" s="150">
        <f t="shared" si="58"/>
        <v>15.327142857142858</v>
      </c>
      <c r="K293" s="150">
        <f t="shared" si="58"/>
        <v>15.327142857142858</v>
      </c>
      <c r="L293" s="150">
        <f t="shared" si="58"/>
        <v>15.327142857142858</v>
      </c>
      <c r="M293" s="150">
        <f t="shared" si="58"/>
        <v>15.327142857142858</v>
      </c>
      <c r="N293" s="150">
        <f t="shared" si="58"/>
        <v>15.327142857142858</v>
      </c>
      <c r="O293" s="150">
        <f t="shared" si="58"/>
        <v>15.327142857142858</v>
      </c>
      <c r="P293" s="150">
        <f t="shared" si="58"/>
        <v>15.327142857142858</v>
      </c>
      <c r="Q293" s="150">
        <f t="shared" si="58"/>
        <v>15.327142857142858</v>
      </c>
      <c r="R293" s="150">
        <f t="shared" si="58"/>
        <v>15.327142857142858</v>
      </c>
      <c r="S293" s="150">
        <f t="shared" si="58"/>
        <v>15.327142857142858</v>
      </c>
      <c r="T293" s="150">
        <f t="shared" si="58"/>
        <v>15.327142857142858</v>
      </c>
      <c r="U293" s="150">
        <f t="shared" si="58"/>
        <v>15.327142857142858</v>
      </c>
      <c r="V293" s="150">
        <f t="shared" si="58"/>
        <v>15.327142857142858</v>
      </c>
      <c r="W293" s="150">
        <f t="shared" si="58"/>
        <v>15.327142857142858</v>
      </c>
      <c r="X293" s="150">
        <f t="shared" si="58"/>
        <v>15.327142857142858</v>
      </c>
      <c r="Y293" s="150">
        <f t="shared" si="59"/>
        <v>15.327142857142858</v>
      </c>
      <c r="Z293" s="150">
        <f t="shared" si="59"/>
        <v>15.327142857142858</v>
      </c>
      <c r="AA293" s="150">
        <f t="shared" si="59"/>
        <v>15.327142857142858</v>
      </c>
      <c r="AB293" s="150">
        <f t="shared" si="59"/>
        <v>15.327142857142858</v>
      </c>
      <c r="AC293" s="150">
        <f t="shared" si="59"/>
        <v>15.327142857142858</v>
      </c>
      <c r="AD293" s="150">
        <f t="shared" si="59"/>
        <v>15.327142857142858</v>
      </c>
      <c r="AE293" s="150">
        <f t="shared" si="59"/>
        <v>15.327142857142858</v>
      </c>
      <c r="AF293" s="150">
        <f t="shared" si="59"/>
        <v>15.327142857142858</v>
      </c>
      <c r="AG293" s="150">
        <f t="shared" si="59"/>
        <v>15.327142857142858</v>
      </c>
    </row>
    <row r="294" spans="2:33" ht="14.5" outlineLevel="1" thickBot="1">
      <c r="B294" s="186"/>
      <c r="C294" s="186" t="str">
        <f>C115</f>
        <v>Customer service lines</v>
      </c>
      <c r="D294" s="214">
        <f>IF(G294="Yes",E116,0)</f>
        <v>0</v>
      </c>
      <c r="E294" s="320"/>
      <c r="F294" s="314"/>
      <c r="G294" s="506" t="s">
        <v>428</v>
      </c>
      <c r="H294" s="157">
        <f t="shared" si="57"/>
        <v>25</v>
      </c>
      <c r="I294" s="150">
        <f t="shared" si="58"/>
        <v>0</v>
      </c>
      <c r="J294" s="150">
        <f t="shared" si="58"/>
        <v>0</v>
      </c>
      <c r="K294" s="150">
        <f t="shared" si="58"/>
        <v>0</v>
      </c>
      <c r="L294" s="150">
        <f t="shared" si="58"/>
        <v>0</v>
      </c>
      <c r="M294" s="150">
        <f t="shared" si="58"/>
        <v>0</v>
      </c>
      <c r="N294" s="150">
        <f t="shared" si="58"/>
        <v>0</v>
      </c>
      <c r="O294" s="150">
        <f t="shared" si="58"/>
        <v>0</v>
      </c>
      <c r="P294" s="150">
        <f t="shared" si="58"/>
        <v>0</v>
      </c>
      <c r="Q294" s="150">
        <f t="shared" si="58"/>
        <v>0</v>
      </c>
      <c r="R294" s="150">
        <f t="shared" si="58"/>
        <v>0</v>
      </c>
      <c r="S294" s="150">
        <f t="shared" si="58"/>
        <v>0</v>
      </c>
      <c r="T294" s="150">
        <f t="shared" si="58"/>
        <v>0</v>
      </c>
      <c r="U294" s="150">
        <f t="shared" si="58"/>
        <v>0</v>
      </c>
      <c r="V294" s="150">
        <f t="shared" si="58"/>
        <v>0</v>
      </c>
      <c r="W294" s="150">
        <f t="shared" si="58"/>
        <v>0</v>
      </c>
      <c r="X294" s="150">
        <f t="shared" si="58"/>
        <v>0</v>
      </c>
      <c r="Y294" s="150">
        <f t="shared" si="59"/>
        <v>0</v>
      </c>
      <c r="Z294" s="150">
        <f t="shared" si="59"/>
        <v>0</v>
      </c>
      <c r="AA294" s="150">
        <f t="shared" si="59"/>
        <v>0</v>
      </c>
      <c r="AB294" s="150">
        <f t="shared" si="59"/>
        <v>0</v>
      </c>
      <c r="AC294" s="150">
        <f t="shared" si="59"/>
        <v>0</v>
      </c>
      <c r="AD294" s="150">
        <f t="shared" si="59"/>
        <v>0</v>
      </c>
      <c r="AE294" s="150">
        <f t="shared" si="59"/>
        <v>0</v>
      </c>
      <c r="AF294" s="150">
        <f t="shared" si="59"/>
        <v>0</v>
      </c>
      <c r="AG294" s="150">
        <f t="shared" si="59"/>
        <v>0</v>
      </c>
    </row>
    <row r="295" spans="2:33" ht="14.5" outlineLevel="1" thickBot="1">
      <c r="B295" s="186"/>
      <c r="C295" s="186" t="str">
        <f>C117</f>
        <v>Other grid equipment</v>
      </c>
      <c r="D295" s="214">
        <f>IF(G295="Yes",E117,0)</f>
        <v>0</v>
      </c>
      <c r="E295" s="314"/>
      <c r="F295" s="321"/>
      <c r="G295" s="506" t="s">
        <v>428</v>
      </c>
      <c r="H295" s="157">
        <f t="shared" si="57"/>
        <v>25</v>
      </c>
      <c r="I295" s="150">
        <f t="shared" si="58"/>
        <v>0</v>
      </c>
      <c r="J295" s="150">
        <f t="shared" si="58"/>
        <v>0</v>
      </c>
      <c r="K295" s="150">
        <f t="shared" si="58"/>
        <v>0</v>
      </c>
      <c r="L295" s="150">
        <f t="shared" si="58"/>
        <v>0</v>
      </c>
      <c r="M295" s="150">
        <f t="shared" si="58"/>
        <v>0</v>
      </c>
      <c r="N295" s="150">
        <f t="shared" si="58"/>
        <v>0</v>
      </c>
      <c r="O295" s="150">
        <f t="shared" si="58"/>
        <v>0</v>
      </c>
      <c r="P295" s="150">
        <f t="shared" si="58"/>
        <v>0</v>
      </c>
      <c r="Q295" s="150">
        <f t="shared" si="58"/>
        <v>0</v>
      </c>
      <c r="R295" s="150">
        <f t="shared" si="58"/>
        <v>0</v>
      </c>
      <c r="S295" s="150">
        <f t="shared" si="58"/>
        <v>0</v>
      </c>
      <c r="T295" s="150">
        <f t="shared" si="58"/>
        <v>0</v>
      </c>
      <c r="U295" s="150">
        <f t="shared" si="58"/>
        <v>0</v>
      </c>
      <c r="V295" s="150">
        <f t="shared" si="58"/>
        <v>0</v>
      </c>
      <c r="W295" s="150">
        <f t="shared" si="58"/>
        <v>0</v>
      </c>
      <c r="X295" s="150">
        <f t="shared" si="58"/>
        <v>0</v>
      </c>
      <c r="Y295" s="150">
        <f t="shared" si="59"/>
        <v>0</v>
      </c>
      <c r="Z295" s="150">
        <f t="shared" si="59"/>
        <v>0</v>
      </c>
      <c r="AA295" s="150">
        <f t="shared" si="59"/>
        <v>0</v>
      </c>
      <c r="AB295" s="150">
        <f t="shared" si="59"/>
        <v>0</v>
      </c>
      <c r="AC295" s="150">
        <f t="shared" si="59"/>
        <v>0</v>
      </c>
      <c r="AD295" s="150">
        <f t="shared" si="59"/>
        <v>0</v>
      </c>
      <c r="AE295" s="150">
        <f t="shared" si="59"/>
        <v>0</v>
      </c>
      <c r="AF295" s="150">
        <f t="shared" si="59"/>
        <v>0</v>
      </c>
      <c r="AG295" s="150">
        <f t="shared" si="59"/>
        <v>0</v>
      </c>
    </row>
    <row r="296" spans="2:33" ht="14.5" outlineLevel="1" thickBot="1">
      <c r="B296" s="186"/>
      <c r="C296" s="186" t="str">
        <f>C118</f>
        <v>Other item</v>
      </c>
      <c r="D296" s="214">
        <f>IF(G296="Yes",E118,0)</f>
        <v>0</v>
      </c>
      <c r="E296" s="314"/>
      <c r="F296" s="321"/>
      <c r="G296" s="506" t="s">
        <v>428</v>
      </c>
      <c r="H296" s="157">
        <f t="shared" si="57"/>
        <v>25</v>
      </c>
      <c r="I296" s="150">
        <f t="shared" si="58"/>
        <v>0</v>
      </c>
      <c r="J296" s="150">
        <f t="shared" si="58"/>
        <v>0</v>
      </c>
      <c r="K296" s="150">
        <f t="shared" si="58"/>
        <v>0</v>
      </c>
      <c r="L296" s="150">
        <f t="shared" si="58"/>
        <v>0</v>
      </c>
      <c r="M296" s="150">
        <f t="shared" si="58"/>
        <v>0</v>
      </c>
      <c r="N296" s="150">
        <f t="shared" si="58"/>
        <v>0</v>
      </c>
      <c r="O296" s="150">
        <f t="shared" si="58"/>
        <v>0</v>
      </c>
      <c r="P296" s="150">
        <f t="shared" si="58"/>
        <v>0</v>
      </c>
      <c r="Q296" s="150">
        <f t="shared" si="58"/>
        <v>0</v>
      </c>
      <c r="R296" s="150">
        <f t="shared" si="58"/>
        <v>0</v>
      </c>
      <c r="S296" s="150">
        <f t="shared" si="58"/>
        <v>0</v>
      </c>
      <c r="T296" s="150">
        <f t="shared" si="58"/>
        <v>0</v>
      </c>
      <c r="U296" s="150">
        <f t="shared" si="58"/>
        <v>0</v>
      </c>
      <c r="V296" s="150">
        <f t="shared" si="58"/>
        <v>0</v>
      </c>
      <c r="W296" s="150">
        <f t="shared" si="58"/>
        <v>0</v>
      </c>
      <c r="X296" s="150">
        <f t="shared" si="58"/>
        <v>0</v>
      </c>
      <c r="Y296" s="150">
        <f t="shared" si="59"/>
        <v>0</v>
      </c>
      <c r="Z296" s="150">
        <f t="shared" si="59"/>
        <v>0</v>
      </c>
      <c r="AA296" s="150">
        <f t="shared" si="59"/>
        <v>0</v>
      </c>
      <c r="AB296" s="150">
        <f t="shared" si="59"/>
        <v>0</v>
      </c>
      <c r="AC296" s="150">
        <f t="shared" si="59"/>
        <v>0</v>
      </c>
      <c r="AD296" s="150">
        <f t="shared" si="59"/>
        <v>0</v>
      </c>
      <c r="AE296" s="150">
        <f t="shared" si="59"/>
        <v>0</v>
      </c>
      <c r="AF296" s="150">
        <f t="shared" si="59"/>
        <v>0</v>
      </c>
      <c r="AG296" s="150">
        <f t="shared" si="59"/>
        <v>0</v>
      </c>
    </row>
    <row r="297" spans="2:33" ht="14.5" outlineLevel="1" thickBot="1">
      <c r="B297" s="186"/>
      <c r="C297" s="186" t="str">
        <f>C119</f>
        <v>Other item</v>
      </c>
      <c r="D297" s="214">
        <f>IF(G297="Yes",E119,0)</f>
        <v>0</v>
      </c>
      <c r="E297" s="314"/>
      <c r="F297" s="321"/>
      <c r="G297" s="506" t="s">
        <v>428</v>
      </c>
      <c r="H297" s="157">
        <f t="shared" si="57"/>
        <v>25</v>
      </c>
      <c r="I297" s="150">
        <f t="shared" si="58"/>
        <v>0</v>
      </c>
      <c r="J297" s="150">
        <f t="shared" si="58"/>
        <v>0</v>
      </c>
      <c r="K297" s="150">
        <f t="shared" si="58"/>
        <v>0</v>
      </c>
      <c r="L297" s="150">
        <f t="shared" si="58"/>
        <v>0</v>
      </c>
      <c r="M297" s="150">
        <f t="shared" si="58"/>
        <v>0</v>
      </c>
      <c r="N297" s="150">
        <f t="shared" si="58"/>
        <v>0</v>
      </c>
      <c r="O297" s="150">
        <f t="shared" si="58"/>
        <v>0</v>
      </c>
      <c r="P297" s="150">
        <f t="shared" si="58"/>
        <v>0</v>
      </c>
      <c r="Q297" s="150">
        <f t="shared" si="58"/>
        <v>0</v>
      </c>
      <c r="R297" s="150">
        <f t="shared" si="58"/>
        <v>0</v>
      </c>
      <c r="S297" s="150">
        <f t="shared" si="58"/>
        <v>0</v>
      </c>
      <c r="T297" s="150">
        <f t="shared" si="58"/>
        <v>0</v>
      </c>
      <c r="U297" s="150">
        <f t="shared" si="58"/>
        <v>0</v>
      </c>
      <c r="V297" s="150">
        <f t="shared" si="58"/>
        <v>0</v>
      </c>
      <c r="W297" s="150">
        <f t="shared" si="58"/>
        <v>0</v>
      </c>
      <c r="X297" s="150">
        <f t="shared" si="58"/>
        <v>0</v>
      </c>
      <c r="Y297" s="150">
        <f t="shared" si="59"/>
        <v>0</v>
      </c>
      <c r="Z297" s="150">
        <f t="shared" si="59"/>
        <v>0</v>
      </c>
      <c r="AA297" s="150">
        <f t="shared" si="59"/>
        <v>0</v>
      </c>
      <c r="AB297" s="150">
        <f t="shared" si="59"/>
        <v>0</v>
      </c>
      <c r="AC297" s="150">
        <f t="shared" si="59"/>
        <v>0</v>
      </c>
      <c r="AD297" s="150">
        <f t="shared" si="59"/>
        <v>0</v>
      </c>
      <c r="AE297" s="150">
        <f t="shared" si="59"/>
        <v>0</v>
      </c>
      <c r="AF297" s="150">
        <f t="shared" si="59"/>
        <v>0</v>
      </c>
      <c r="AG297" s="150">
        <f t="shared" si="59"/>
        <v>0</v>
      </c>
    </row>
    <row r="298" spans="2:33" s="128" customFormat="1" ht="14.5" outlineLevel="1" thickBot="1">
      <c r="C298" s="315"/>
      <c r="D298" s="316"/>
      <c r="E298" s="317"/>
      <c r="F298" s="322"/>
      <c r="G298" s="91"/>
      <c r="H298" s="318"/>
      <c r="I298" s="323"/>
      <c r="J298" s="323"/>
      <c r="K298" s="323"/>
      <c r="L298" s="323"/>
      <c r="M298" s="323"/>
      <c r="N298" s="323"/>
      <c r="O298" s="323"/>
      <c r="P298" s="323"/>
      <c r="Q298" s="323"/>
      <c r="R298" s="323"/>
      <c r="S298" s="323"/>
      <c r="T298" s="323"/>
      <c r="U298" s="323"/>
      <c r="V298" s="323"/>
      <c r="W298" s="323"/>
      <c r="X298" s="323"/>
      <c r="Y298" s="323"/>
      <c r="Z298" s="323"/>
      <c r="AA298" s="323"/>
      <c r="AB298" s="323"/>
      <c r="AC298" s="323"/>
      <c r="AD298" s="323"/>
      <c r="AE298" s="323"/>
      <c r="AF298" s="323"/>
      <c r="AG298" s="323"/>
    </row>
    <row r="299" spans="2:33" ht="14.5" outlineLevel="1" thickBot="1">
      <c r="B299" s="132"/>
      <c r="C299" s="132" t="s">
        <v>93</v>
      </c>
      <c r="D299" s="132"/>
      <c r="E299" s="133"/>
      <c r="F299" s="321"/>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row>
    <row r="300" spans="2:33" ht="14.5" outlineLevel="1" thickBot="1">
      <c r="B300" s="186"/>
      <c r="C300" s="186" t="str">
        <f>C123</f>
        <v>Single Phase Customer Meters</v>
      </c>
      <c r="D300" s="214">
        <f>IF(G300="Yes",E123,0)</f>
        <v>0</v>
      </c>
      <c r="E300" s="320"/>
      <c r="F300" s="321"/>
      <c r="G300" s="506" t="s">
        <v>428</v>
      </c>
      <c r="H300" s="157">
        <f>$D$18</f>
        <v>25</v>
      </c>
      <c r="I300" s="150">
        <f t="shared" ref="I300:X302" si="60">IF((I$279-$H$279)/$H300&lt;=1,$D300/$H300,$E300/$H300)</f>
        <v>0</v>
      </c>
      <c r="J300" s="150">
        <f t="shared" si="60"/>
        <v>0</v>
      </c>
      <c r="K300" s="150">
        <f t="shared" si="60"/>
        <v>0</v>
      </c>
      <c r="L300" s="150">
        <f t="shared" si="60"/>
        <v>0</v>
      </c>
      <c r="M300" s="150">
        <f t="shared" si="60"/>
        <v>0</v>
      </c>
      <c r="N300" s="150">
        <f t="shared" si="60"/>
        <v>0</v>
      </c>
      <c r="O300" s="150">
        <f t="shared" si="60"/>
        <v>0</v>
      </c>
      <c r="P300" s="150">
        <f t="shared" si="60"/>
        <v>0</v>
      </c>
      <c r="Q300" s="150">
        <f t="shared" si="60"/>
        <v>0</v>
      </c>
      <c r="R300" s="150">
        <f t="shared" si="60"/>
        <v>0</v>
      </c>
      <c r="S300" s="150">
        <f t="shared" si="60"/>
        <v>0</v>
      </c>
      <c r="T300" s="150">
        <f t="shared" si="60"/>
        <v>0</v>
      </c>
      <c r="U300" s="150">
        <f t="shared" si="60"/>
        <v>0</v>
      </c>
      <c r="V300" s="150">
        <f t="shared" si="60"/>
        <v>0</v>
      </c>
      <c r="W300" s="150">
        <f t="shared" si="60"/>
        <v>0</v>
      </c>
      <c r="X300" s="150">
        <f t="shared" si="60"/>
        <v>0</v>
      </c>
      <c r="Y300" s="150">
        <f t="shared" ref="Y300:AG302" si="61">IF((Y$279-$H$279)/$H300&lt;=1,$D300/$H300,$E300/$H300)</f>
        <v>0</v>
      </c>
      <c r="Z300" s="150">
        <f t="shared" si="61"/>
        <v>0</v>
      </c>
      <c r="AA300" s="150">
        <f t="shared" si="61"/>
        <v>0</v>
      </c>
      <c r="AB300" s="150">
        <f t="shared" si="61"/>
        <v>0</v>
      </c>
      <c r="AC300" s="150">
        <f t="shared" si="61"/>
        <v>0</v>
      </c>
      <c r="AD300" s="150">
        <f t="shared" si="61"/>
        <v>0</v>
      </c>
      <c r="AE300" s="150">
        <f t="shared" si="61"/>
        <v>0</v>
      </c>
      <c r="AF300" s="150">
        <f t="shared" si="61"/>
        <v>0</v>
      </c>
      <c r="AG300" s="150">
        <f t="shared" si="61"/>
        <v>0</v>
      </c>
    </row>
    <row r="301" spans="2:33" ht="14.5" outlineLevel="1" thickBot="1">
      <c r="B301" s="186"/>
      <c r="C301" s="186" t="str">
        <f>C124</f>
        <v>Three Phase Customer Meters</v>
      </c>
      <c r="D301" s="214">
        <f>IF(G301="Yes",E124,0)</f>
        <v>0</v>
      </c>
      <c r="E301" s="320"/>
      <c r="F301" s="321"/>
      <c r="G301" s="506" t="s">
        <v>429</v>
      </c>
      <c r="H301" s="157">
        <f>$D$18</f>
        <v>25</v>
      </c>
      <c r="I301" s="150">
        <f t="shared" si="60"/>
        <v>0</v>
      </c>
      <c r="J301" s="150">
        <f t="shared" si="60"/>
        <v>0</v>
      </c>
      <c r="K301" s="150">
        <f t="shared" si="60"/>
        <v>0</v>
      </c>
      <c r="L301" s="150">
        <f t="shared" si="60"/>
        <v>0</v>
      </c>
      <c r="M301" s="150">
        <f t="shared" si="60"/>
        <v>0</v>
      </c>
      <c r="N301" s="150">
        <f t="shared" si="60"/>
        <v>0</v>
      </c>
      <c r="O301" s="150">
        <f t="shared" si="60"/>
        <v>0</v>
      </c>
      <c r="P301" s="150">
        <f t="shared" si="60"/>
        <v>0</v>
      </c>
      <c r="Q301" s="150">
        <f t="shared" si="60"/>
        <v>0</v>
      </c>
      <c r="R301" s="150">
        <f t="shared" si="60"/>
        <v>0</v>
      </c>
      <c r="S301" s="150">
        <f t="shared" si="60"/>
        <v>0</v>
      </c>
      <c r="T301" s="150">
        <f t="shared" si="60"/>
        <v>0</v>
      </c>
      <c r="U301" s="150">
        <f t="shared" si="60"/>
        <v>0</v>
      </c>
      <c r="V301" s="150">
        <f t="shared" si="60"/>
        <v>0</v>
      </c>
      <c r="W301" s="150">
        <f t="shared" si="60"/>
        <v>0</v>
      </c>
      <c r="X301" s="150">
        <f t="shared" si="60"/>
        <v>0</v>
      </c>
      <c r="Y301" s="150">
        <f t="shared" si="61"/>
        <v>0</v>
      </c>
      <c r="Z301" s="150">
        <f t="shared" si="61"/>
        <v>0</v>
      </c>
      <c r="AA301" s="150">
        <f t="shared" si="61"/>
        <v>0</v>
      </c>
      <c r="AB301" s="150">
        <f t="shared" si="61"/>
        <v>0</v>
      </c>
      <c r="AC301" s="150">
        <f t="shared" si="61"/>
        <v>0</v>
      </c>
      <c r="AD301" s="150">
        <f t="shared" si="61"/>
        <v>0</v>
      </c>
      <c r="AE301" s="150">
        <f t="shared" si="61"/>
        <v>0</v>
      </c>
      <c r="AF301" s="150">
        <f t="shared" si="61"/>
        <v>0</v>
      </c>
      <c r="AG301" s="150">
        <f t="shared" si="61"/>
        <v>0</v>
      </c>
    </row>
    <row r="302" spans="2:33" ht="14.5" outlineLevel="1" thickBot="1">
      <c r="B302" s="186"/>
      <c r="C302" s="186" t="str">
        <f>C125</f>
        <v>Other</v>
      </c>
      <c r="D302" s="214">
        <f>IF(G302="Yes",E125,0)</f>
        <v>617.14285714285711</v>
      </c>
      <c r="E302" s="324"/>
      <c r="F302" s="321"/>
      <c r="G302" s="506" t="s">
        <v>428</v>
      </c>
      <c r="H302" s="157">
        <f>$D$18</f>
        <v>25</v>
      </c>
      <c r="I302" s="150">
        <f t="shared" si="60"/>
        <v>24.685714285714283</v>
      </c>
      <c r="J302" s="150">
        <f t="shared" si="60"/>
        <v>24.685714285714283</v>
      </c>
      <c r="K302" s="150">
        <f t="shared" si="60"/>
        <v>24.685714285714283</v>
      </c>
      <c r="L302" s="150">
        <f t="shared" si="60"/>
        <v>24.685714285714283</v>
      </c>
      <c r="M302" s="150">
        <f t="shared" si="60"/>
        <v>24.685714285714283</v>
      </c>
      <c r="N302" s="150">
        <f t="shared" si="60"/>
        <v>24.685714285714283</v>
      </c>
      <c r="O302" s="150">
        <f t="shared" si="60"/>
        <v>24.685714285714283</v>
      </c>
      <c r="P302" s="150">
        <f t="shared" si="60"/>
        <v>24.685714285714283</v>
      </c>
      <c r="Q302" s="150">
        <f t="shared" si="60"/>
        <v>24.685714285714283</v>
      </c>
      <c r="R302" s="150">
        <f t="shared" si="60"/>
        <v>24.685714285714283</v>
      </c>
      <c r="S302" s="150">
        <f t="shared" si="60"/>
        <v>24.685714285714283</v>
      </c>
      <c r="T302" s="150">
        <f t="shared" si="60"/>
        <v>24.685714285714283</v>
      </c>
      <c r="U302" s="150">
        <f t="shared" si="60"/>
        <v>24.685714285714283</v>
      </c>
      <c r="V302" s="150">
        <f t="shared" si="60"/>
        <v>24.685714285714283</v>
      </c>
      <c r="W302" s="150">
        <f t="shared" si="60"/>
        <v>24.685714285714283</v>
      </c>
      <c r="X302" s="150">
        <f t="shared" si="60"/>
        <v>24.685714285714283</v>
      </c>
      <c r="Y302" s="150">
        <f t="shared" si="61"/>
        <v>24.685714285714283</v>
      </c>
      <c r="Z302" s="150">
        <f t="shared" si="61"/>
        <v>24.685714285714283</v>
      </c>
      <c r="AA302" s="150">
        <f t="shared" si="61"/>
        <v>24.685714285714283</v>
      </c>
      <c r="AB302" s="150">
        <f t="shared" si="61"/>
        <v>24.685714285714283</v>
      </c>
      <c r="AC302" s="150">
        <f t="shared" si="61"/>
        <v>24.685714285714283</v>
      </c>
      <c r="AD302" s="150">
        <f t="shared" si="61"/>
        <v>24.685714285714283</v>
      </c>
      <c r="AE302" s="150">
        <f t="shared" si="61"/>
        <v>24.685714285714283</v>
      </c>
      <c r="AF302" s="150">
        <f t="shared" si="61"/>
        <v>24.685714285714283</v>
      </c>
      <c r="AG302" s="150">
        <f t="shared" si="61"/>
        <v>24.685714285714283</v>
      </c>
    </row>
    <row r="303" spans="2:33" s="128" customFormat="1" ht="14.5" outlineLevel="1" thickBot="1">
      <c r="B303" s="315"/>
      <c r="C303" s="315"/>
      <c r="D303" s="316"/>
      <c r="E303" s="316"/>
      <c r="F303" s="322"/>
      <c r="G303" s="325"/>
      <c r="H303" s="326"/>
      <c r="I303" s="323"/>
      <c r="J303" s="323"/>
      <c r="K303" s="323"/>
      <c r="L303" s="323"/>
      <c r="M303" s="323"/>
      <c r="N303" s="323"/>
      <c r="O303" s="323"/>
      <c r="P303" s="323"/>
      <c r="Q303" s="323"/>
      <c r="R303" s="323"/>
      <c r="S303" s="323"/>
      <c r="T303" s="323"/>
      <c r="U303" s="323"/>
      <c r="V303" s="323"/>
      <c r="W303" s="323"/>
      <c r="X303" s="323"/>
      <c r="Y303" s="323"/>
      <c r="Z303" s="323"/>
      <c r="AA303" s="323"/>
      <c r="AB303" s="323"/>
      <c r="AC303" s="323"/>
      <c r="AD303" s="323"/>
      <c r="AE303" s="323"/>
      <c r="AF303" s="323"/>
      <c r="AG303" s="323"/>
    </row>
    <row r="304" spans="2:33" ht="14.5" outlineLevel="1" thickBot="1">
      <c r="B304" s="327"/>
      <c r="C304" s="327" t="s">
        <v>325</v>
      </c>
      <c r="D304" s="327"/>
      <c r="E304" s="222"/>
      <c r="F304" s="321"/>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row>
    <row r="305" spans="2:33" ht="14.5" outlineLevel="1" thickBot="1">
      <c r="B305" s="186"/>
      <c r="C305" s="186" t="str">
        <f>C129</f>
        <v>Single Phase Customer Installations</v>
      </c>
      <c r="D305" s="214">
        <f>IF(G305="Yes",E129,0)</f>
        <v>0</v>
      </c>
      <c r="E305" s="320"/>
      <c r="F305" s="321"/>
      <c r="G305" s="506" t="s">
        <v>428</v>
      </c>
      <c r="H305" s="157">
        <f>$D$18</f>
        <v>25</v>
      </c>
      <c r="I305" s="150">
        <f t="shared" ref="I305:X307" si="62">IF((I$279-$H$279)/$H305&lt;=1,$D305/$H305,$E305/$H305)</f>
        <v>0</v>
      </c>
      <c r="J305" s="150">
        <f t="shared" si="62"/>
        <v>0</v>
      </c>
      <c r="K305" s="150">
        <f t="shared" si="62"/>
        <v>0</v>
      </c>
      <c r="L305" s="150">
        <f t="shared" si="62"/>
        <v>0</v>
      </c>
      <c r="M305" s="150">
        <f t="shared" si="62"/>
        <v>0</v>
      </c>
      <c r="N305" s="150">
        <f t="shared" si="62"/>
        <v>0</v>
      </c>
      <c r="O305" s="150">
        <f t="shared" si="62"/>
        <v>0</v>
      </c>
      <c r="P305" s="150">
        <f t="shared" si="62"/>
        <v>0</v>
      </c>
      <c r="Q305" s="150">
        <f t="shared" si="62"/>
        <v>0</v>
      </c>
      <c r="R305" s="150">
        <f t="shared" si="62"/>
        <v>0</v>
      </c>
      <c r="S305" s="150">
        <f t="shared" si="62"/>
        <v>0</v>
      </c>
      <c r="T305" s="150">
        <f t="shared" si="62"/>
        <v>0</v>
      </c>
      <c r="U305" s="150">
        <f t="shared" si="62"/>
        <v>0</v>
      </c>
      <c r="V305" s="150">
        <f t="shared" si="62"/>
        <v>0</v>
      </c>
      <c r="W305" s="150">
        <f t="shared" si="62"/>
        <v>0</v>
      </c>
      <c r="X305" s="150">
        <f t="shared" si="62"/>
        <v>0</v>
      </c>
      <c r="Y305" s="150">
        <f t="shared" ref="Y305:AG307" si="63">IF((Y$279-$H$279)/$H305&lt;=1,$D305/$H305,$E305/$H305)</f>
        <v>0</v>
      </c>
      <c r="Z305" s="150">
        <f t="shared" si="63"/>
        <v>0</v>
      </c>
      <c r="AA305" s="150">
        <f t="shared" si="63"/>
        <v>0</v>
      </c>
      <c r="AB305" s="150">
        <f t="shared" si="63"/>
        <v>0</v>
      </c>
      <c r="AC305" s="150">
        <f t="shared" si="63"/>
        <v>0</v>
      </c>
      <c r="AD305" s="150">
        <f t="shared" si="63"/>
        <v>0</v>
      </c>
      <c r="AE305" s="150">
        <f t="shared" si="63"/>
        <v>0</v>
      </c>
      <c r="AF305" s="150">
        <f t="shared" si="63"/>
        <v>0</v>
      </c>
      <c r="AG305" s="150">
        <f t="shared" si="63"/>
        <v>0</v>
      </c>
    </row>
    <row r="306" spans="2:33" ht="14.5" outlineLevel="1" thickBot="1">
      <c r="B306" s="186"/>
      <c r="C306" s="186" t="str">
        <f>C130</f>
        <v>Three Phase Customer Installations</v>
      </c>
      <c r="D306" s="214">
        <f>IF(G306="Yes",E130,0)</f>
        <v>0</v>
      </c>
      <c r="E306" s="320"/>
      <c r="F306" s="321"/>
      <c r="G306" s="506" t="s">
        <v>428</v>
      </c>
      <c r="H306" s="157">
        <f>$D$18</f>
        <v>25</v>
      </c>
      <c r="I306" s="150">
        <f t="shared" si="62"/>
        <v>0</v>
      </c>
      <c r="J306" s="150">
        <f t="shared" si="62"/>
        <v>0</v>
      </c>
      <c r="K306" s="150">
        <f t="shared" si="62"/>
        <v>0</v>
      </c>
      <c r="L306" s="150">
        <f t="shared" si="62"/>
        <v>0</v>
      </c>
      <c r="M306" s="150">
        <f t="shared" si="62"/>
        <v>0</v>
      </c>
      <c r="N306" s="150">
        <f t="shared" si="62"/>
        <v>0</v>
      </c>
      <c r="O306" s="150">
        <f t="shared" si="62"/>
        <v>0</v>
      </c>
      <c r="P306" s="150">
        <f t="shared" si="62"/>
        <v>0</v>
      </c>
      <c r="Q306" s="150">
        <f t="shared" si="62"/>
        <v>0</v>
      </c>
      <c r="R306" s="150">
        <f t="shared" si="62"/>
        <v>0</v>
      </c>
      <c r="S306" s="150">
        <f t="shared" si="62"/>
        <v>0</v>
      </c>
      <c r="T306" s="150">
        <f t="shared" si="62"/>
        <v>0</v>
      </c>
      <c r="U306" s="150">
        <f t="shared" si="62"/>
        <v>0</v>
      </c>
      <c r="V306" s="150">
        <f t="shared" si="62"/>
        <v>0</v>
      </c>
      <c r="W306" s="150">
        <f t="shared" si="62"/>
        <v>0</v>
      </c>
      <c r="X306" s="150">
        <f t="shared" si="62"/>
        <v>0</v>
      </c>
      <c r="Y306" s="150">
        <f t="shared" si="63"/>
        <v>0</v>
      </c>
      <c r="Z306" s="150">
        <f t="shared" si="63"/>
        <v>0</v>
      </c>
      <c r="AA306" s="150">
        <f t="shared" si="63"/>
        <v>0</v>
      </c>
      <c r="AB306" s="150">
        <f t="shared" si="63"/>
        <v>0</v>
      </c>
      <c r="AC306" s="150">
        <f t="shared" si="63"/>
        <v>0</v>
      </c>
      <c r="AD306" s="150">
        <f t="shared" si="63"/>
        <v>0</v>
      </c>
      <c r="AE306" s="150">
        <f t="shared" si="63"/>
        <v>0</v>
      </c>
      <c r="AF306" s="150">
        <f t="shared" si="63"/>
        <v>0</v>
      </c>
      <c r="AG306" s="150">
        <f t="shared" si="63"/>
        <v>0</v>
      </c>
    </row>
    <row r="307" spans="2:33" ht="14.5" outlineLevel="1" thickBot="1">
      <c r="B307" s="186"/>
      <c r="C307" s="186" t="str">
        <f>C131</f>
        <v>Other</v>
      </c>
      <c r="D307" s="214">
        <f>IF(G307="Yes",E131,0)</f>
        <v>0</v>
      </c>
      <c r="E307" s="320"/>
      <c r="F307" s="321"/>
      <c r="G307" s="506" t="s">
        <v>428</v>
      </c>
      <c r="H307" s="157">
        <f>$D$18</f>
        <v>25</v>
      </c>
      <c r="I307" s="150">
        <f t="shared" si="62"/>
        <v>0</v>
      </c>
      <c r="J307" s="150">
        <f t="shared" si="62"/>
        <v>0</v>
      </c>
      <c r="K307" s="150">
        <f t="shared" si="62"/>
        <v>0</v>
      </c>
      <c r="L307" s="150">
        <f t="shared" si="62"/>
        <v>0</v>
      </c>
      <c r="M307" s="150">
        <f t="shared" si="62"/>
        <v>0</v>
      </c>
      <c r="N307" s="150">
        <f t="shared" si="62"/>
        <v>0</v>
      </c>
      <c r="O307" s="150">
        <f t="shared" si="62"/>
        <v>0</v>
      </c>
      <c r="P307" s="150">
        <f t="shared" si="62"/>
        <v>0</v>
      </c>
      <c r="Q307" s="150">
        <f t="shared" si="62"/>
        <v>0</v>
      </c>
      <c r="R307" s="150">
        <f t="shared" si="62"/>
        <v>0</v>
      </c>
      <c r="S307" s="150">
        <f t="shared" si="62"/>
        <v>0</v>
      </c>
      <c r="T307" s="150">
        <f t="shared" si="62"/>
        <v>0</v>
      </c>
      <c r="U307" s="150">
        <f t="shared" si="62"/>
        <v>0</v>
      </c>
      <c r="V307" s="150">
        <f t="shared" si="62"/>
        <v>0</v>
      </c>
      <c r="W307" s="150">
        <f t="shared" si="62"/>
        <v>0</v>
      </c>
      <c r="X307" s="150">
        <f t="shared" si="62"/>
        <v>0</v>
      </c>
      <c r="Y307" s="150">
        <f t="shared" si="63"/>
        <v>0</v>
      </c>
      <c r="Z307" s="150">
        <f t="shared" si="63"/>
        <v>0</v>
      </c>
      <c r="AA307" s="150">
        <f t="shared" si="63"/>
        <v>0</v>
      </c>
      <c r="AB307" s="150">
        <f t="shared" si="63"/>
        <v>0</v>
      </c>
      <c r="AC307" s="150">
        <f t="shared" si="63"/>
        <v>0</v>
      </c>
      <c r="AD307" s="150">
        <f t="shared" si="63"/>
        <v>0</v>
      </c>
      <c r="AE307" s="150">
        <f t="shared" si="63"/>
        <v>0</v>
      </c>
      <c r="AF307" s="150">
        <f t="shared" si="63"/>
        <v>0</v>
      </c>
      <c r="AG307" s="150">
        <f t="shared" si="63"/>
        <v>0</v>
      </c>
    </row>
    <row r="308" spans="2:33" s="128" customFormat="1" outlineLevel="1">
      <c r="B308" s="315"/>
      <c r="C308" s="315"/>
      <c r="D308" s="316"/>
      <c r="E308" s="316"/>
      <c r="F308" s="322"/>
      <c r="G308" s="325"/>
      <c r="H308" s="326"/>
      <c r="I308" s="328"/>
      <c r="J308" s="328"/>
      <c r="K308" s="328"/>
      <c r="L308" s="328"/>
      <c r="M308" s="328"/>
      <c r="N308" s="328"/>
      <c r="O308" s="328"/>
      <c r="P308" s="328"/>
      <c r="Q308" s="328"/>
      <c r="R308" s="328"/>
      <c r="S308" s="328"/>
      <c r="T308" s="328"/>
      <c r="U308" s="328"/>
      <c r="V308" s="328"/>
      <c r="W308" s="328"/>
      <c r="X308" s="328"/>
      <c r="Y308" s="328"/>
      <c r="Z308" s="328"/>
      <c r="AA308" s="328"/>
      <c r="AB308" s="328"/>
      <c r="AC308" s="328"/>
      <c r="AD308" s="328"/>
      <c r="AE308" s="328"/>
      <c r="AF308" s="328"/>
      <c r="AG308" s="328"/>
    </row>
    <row r="309" spans="2:33" ht="14.5" outlineLevel="1" thickBot="1">
      <c r="B309" s="327"/>
      <c r="C309" s="327" t="s">
        <v>430</v>
      </c>
      <c r="D309" s="329">
        <f>SUM(D283:D307)</f>
        <v>55590.735714285714</v>
      </c>
      <c r="E309" s="330"/>
      <c r="G309" s="329"/>
      <c r="H309" s="329"/>
      <c r="I309" s="329">
        <f>IFERROR(SUM(I283:I307),0)</f>
        <v>2663.1642271062269</v>
      </c>
      <c r="J309" s="329">
        <f t="shared" ref="J309:AG309" si="64">IFERROR(SUM(J283:J307),0)</f>
        <v>2663.1642271062269</v>
      </c>
      <c r="K309" s="329">
        <f t="shared" si="64"/>
        <v>2663.1642271062269</v>
      </c>
      <c r="L309" s="329">
        <f t="shared" si="64"/>
        <v>2663.1642271062269</v>
      </c>
      <c r="M309" s="329">
        <f t="shared" si="64"/>
        <v>2663.1642271062269</v>
      </c>
      <c r="N309" s="329">
        <f t="shared" si="64"/>
        <v>2663.1642271062269</v>
      </c>
      <c r="O309" s="329">
        <f t="shared" si="64"/>
        <v>2663.1642271062269</v>
      </c>
      <c r="P309" s="329">
        <f t="shared" si="64"/>
        <v>2663.1642271062269</v>
      </c>
      <c r="Q309" s="329">
        <f t="shared" si="64"/>
        <v>2663.1642271062269</v>
      </c>
      <c r="R309" s="329">
        <f t="shared" si="64"/>
        <v>2663.1642271062269</v>
      </c>
      <c r="S309" s="329">
        <f t="shared" si="64"/>
        <v>2663.1642271062269</v>
      </c>
      <c r="T309" s="329">
        <f t="shared" si="64"/>
        <v>2663.1642271062269</v>
      </c>
      <c r="U309" s="329">
        <f t="shared" si="64"/>
        <v>2663.1642271062269</v>
      </c>
      <c r="V309" s="329">
        <f t="shared" si="64"/>
        <v>2663.1642271062269</v>
      </c>
      <c r="W309" s="329">
        <f t="shared" si="64"/>
        <v>2663.1642271062269</v>
      </c>
      <c r="X309" s="329">
        <f t="shared" si="64"/>
        <v>1946.359984574269</v>
      </c>
      <c r="Y309" s="329">
        <f t="shared" si="64"/>
        <v>1946.359984574269</v>
      </c>
      <c r="Z309" s="329">
        <f t="shared" si="64"/>
        <v>1946.359984574269</v>
      </c>
      <c r="AA309" s="329">
        <f t="shared" si="64"/>
        <v>1946.359984574269</v>
      </c>
      <c r="AB309" s="329">
        <f t="shared" si="64"/>
        <v>1946.359984574269</v>
      </c>
      <c r="AC309" s="329">
        <f t="shared" si="64"/>
        <v>1946.359984574269</v>
      </c>
      <c r="AD309" s="329">
        <f t="shared" si="64"/>
        <v>1946.359984574269</v>
      </c>
      <c r="AE309" s="329">
        <f t="shared" si="64"/>
        <v>1946.359984574269</v>
      </c>
      <c r="AF309" s="329">
        <f t="shared" si="64"/>
        <v>1946.359984574269</v>
      </c>
      <c r="AG309" s="329">
        <f t="shared" si="64"/>
        <v>1946.359984574269</v>
      </c>
    </row>
    <row r="310" spans="2:33" ht="12" customHeight="1"/>
    <row r="311" spans="2:33" s="248" customFormat="1" ht="23">
      <c r="B311" s="129"/>
      <c r="C311" s="142" t="s">
        <v>431</v>
      </c>
      <c r="D311" s="143"/>
      <c r="E311" s="143"/>
      <c r="F311" s="245"/>
      <c r="G311" s="237" t="s">
        <v>432</v>
      </c>
      <c r="H311" s="237">
        <f t="shared" ref="H311:AG311" si="65">H2</f>
        <v>2025</v>
      </c>
      <c r="I311" s="237">
        <f t="shared" si="65"/>
        <v>2026</v>
      </c>
      <c r="J311" s="237">
        <f t="shared" si="65"/>
        <v>2027</v>
      </c>
      <c r="K311" s="237">
        <f t="shared" si="65"/>
        <v>2028</v>
      </c>
      <c r="L311" s="237">
        <f t="shared" si="65"/>
        <v>2029</v>
      </c>
      <c r="M311" s="237">
        <f t="shared" si="65"/>
        <v>2030</v>
      </c>
      <c r="N311" s="237">
        <f t="shared" si="65"/>
        <v>2031</v>
      </c>
      <c r="O311" s="237">
        <f t="shared" si="65"/>
        <v>2032</v>
      </c>
      <c r="P311" s="237">
        <f t="shared" si="65"/>
        <v>2033</v>
      </c>
      <c r="Q311" s="237">
        <f t="shared" si="65"/>
        <v>2034</v>
      </c>
      <c r="R311" s="237">
        <f t="shared" si="65"/>
        <v>2035</v>
      </c>
      <c r="S311" s="237">
        <f t="shared" si="65"/>
        <v>2036</v>
      </c>
      <c r="T311" s="237">
        <f t="shared" si="65"/>
        <v>2037</v>
      </c>
      <c r="U311" s="237">
        <f t="shared" si="65"/>
        <v>2038</v>
      </c>
      <c r="V311" s="237">
        <f t="shared" si="65"/>
        <v>2039</v>
      </c>
      <c r="W311" s="237">
        <f t="shared" si="65"/>
        <v>2040</v>
      </c>
      <c r="X311" s="237">
        <f t="shared" si="65"/>
        <v>2041</v>
      </c>
      <c r="Y311" s="237">
        <f t="shared" si="65"/>
        <v>2042</v>
      </c>
      <c r="Z311" s="237">
        <f t="shared" si="65"/>
        <v>2043</v>
      </c>
      <c r="AA311" s="237">
        <f t="shared" si="65"/>
        <v>2044</v>
      </c>
      <c r="AB311" s="237">
        <f t="shared" si="65"/>
        <v>2045</v>
      </c>
      <c r="AC311" s="237">
        <f t="shared" si="65"/>
        <v>2046</v>
      </c>
      <c r="AD311" s="237">
        <f t="shared" si="65"/>
        <v>2047</v>
      </c>
      <c r="AE311" s="237">
        <f t="shared" si="65"/>
        <v>2048</v>
      </c>
      <c r="AF311" s="237">
        <f t="shared" si="65"/>
        <v>2049</v>
      </c>
      <c r="AG311" s="237">
        <f t="shared" si="65"/>
        <v>2050</v>
      </c>
    </row>
    <row r="312" spans="2:33" ht="14.25" customHeight="1" outlineLevel="1" thickBot="1">
      <c r="H312" s="331"/>
      <c r="I312" s="332"/>
      <c r="J312" s="332"/>
      <c r="K312" s="332"/>
      <c r="L312" s="332"/>
      <c r="M312" s="332"/>
      <c r="N312" s="332"/>
      <c r="O312" s="332"/>
      <c r="P312" s="332"/>
      <c r="Q312" s="332"/>
      <c r="R312" s="332"/>
      <c r="S312" s="332"/>
      <c r="T312" s="332"/>
      <c r="U312" s="332"/>
      <c r="V312" s="332"/>
      <c r="W312" s="332"/>
      <c r="X312" s="332"/>
      <c r="Y312" s="332"/>
      <c r="Z312" s="332"/>
      <c r="AA312" s="140"/>
      <c r="AB312" s="140"/>
      <c r="AC312" s="140"/>
      <c r="AD312" s="140"/>
      <c r="AE312" s="140"/>
      <c r="AF312" s="140"/>
      <c r="AG312" s="140"/>
    </row>
    <row r="313" spans="2:33" ht="14.25" customHeight="1" outlineLevel="1" thickBot="1">
      <c r="B313" s="186"/>
      <c r="C313" s="187" t="str">
        <f t="shared" ref="C313:C318" si="66">C283</f>
        <v>Solar PV Panels</v>
      </c>
      <c r="D313" s="186"/>
      <c r="H313" s="150"/>
      <c r="I313" s="150">
        <f t="shared" ref="I313:AG313" si="67">I80</f>
        <v>0</v>
      </c>
      <c r="J313" s="150">
        <f t="shared" si="67"/>
        <v>0</v>
      </c>
      <c r="K313" s="150">
        <f t="shared" si="67"/>
        <v>0</v>
      </c>
      <c r="L313" s="150">
        <f t="shared" si="67"/>
        <v>0</v>
      </c>
      <c r="M313" s="150">
        <f t="shared" si="67"/>
        <v>0</v>
      </c>
      <c r="N313" s="150">
        <f t="shared" si="67"/>
        <v>0</v>
      </c>
      <c r="O313" s="150">
        <f t="shared" si="67"/>
        <v>0</v>
      </c>
      <c r="P313" s="150">
        <f t="shared" si="67"/>
        <v>0</v>
      </c>
      <c r="Q313" s="150">
        <f t="shared" si="67"/>
        <v>0</v>
      </c>
      <c r="R313" s="150">
        <f t="shared" si="67"/>
        <v>0</v>
      </c>
      <c r="S313" s="150">
        <f t="shared" si="67"/>
        <v>0</v>
      </c>
      <c r="T313" s="150">
        <f t="shared" si="67"/>
        <v>0</v>
      </c>
      <c r="U313" s="150">
        <f t="shared" si="67"/>
        <v>0</v>
      </c>
      <c r="V313" s="150">
        <f t="shared" si="67"/>
        <v>0</v>
      </c>
      <c r="W313" s="150">
        <f t="shared" si="67"/>
        <v>0</v>
      </c>
      <c r="X313" s="150">
        <f t="shared" si="67"/>
        <v>0</v>
      </c>
      <c r="Y313" s="150">
        <f t="shared" si="67"/>
        <v>0</v>
      </c>
      <c r="Z313" s="150">
        <f t="shared" si="67"/>
        <v>0</v>
      </c>
      <c r="AA313" s="150">
        <f t="shared" si="67"/>
        <v>0</v>
      </c>
      <c r="AB313" s="150">
        <f t="shared" si="67"/>
        <v>0</v>
      </c>
      <c r="AC313" s="150">
        <f t="shared" si="67"/>
        <v>0</v>
      </c>
      <c r="AD313" s="150">
        <f t="shared" si="67"/>
        <v>0</v>
      </c>
      <c r="AE313" s="150">
        <f t="shared" si="67"/>
        <v>0</v>
      </c>
      <c r="AF313" s="150">
        <f t="shared" si="67"/>
        <v>0</v>
      </c>
      <c r="AG313" s="150">
        <f t="shared" si="67"/>
        <v>0</v>
      </c>
    </row>
    <row r="314" spans="2:33" ht="14.25" customHeight="1" outlineLevel="1" thickBot="1">
      <c r="B314" s="186"/>
      <c r="C314" s="187" t="str">
        <f t="shared" si="66"/>
        <v>Solar PV Inverter / Converter</v>
      </c>
      <c r="D314" s="186"/>
      <c r="H314" s="150"/>
      <c r="I314" s="150">
        <f t="shared" ref="I314:AG314" si="68">I87</f>
        <v>0</v>
      </c>
      <c r="J314" s="150">
        <f t="shared" si="68"/>
        <v>0</v>
      </c>
      <c r="K314" s="150">
        <f t="shared" si="68"/>
        <v>0</v>
      </c>
      <c r="L314" s="150">
        <f t="shared" si="68"/>
        <v>0</v>
      </c>
      <c r="M314" s="150">
        <f t="shared" si="68"/>
        <v>0</v>
      </c>
      <c r="N314" s="150">
        <f t="shared" si="68"/>
        <v>0</v>
      </c>
      <c r="O314" s="150">
        <f t="shared" si="68"/>
        <v>0</v>
      </c>
      <c r="P314" s="150">
        <f t="shared" si="68"/>
        <v>0</v>
      </c>
      <c r="Q314" s="150">
        <f t="shared" si="68"/>
        <v>0</v>
      </c>
      <c r="R314" s="150">
        <f t="shared" si="68"/>
        <v>0</v>
      </c>
      <c r="S314" s="150">
        <f t="shared" si="68"/>
        <v>0</v>
      </c>
      <c r="T314" s="150">
        <f t="shared" si="68"/>
        <v>0</v>
      </c>
      <c r="U314" s="150">
        <f t="shared" si="68"/>
        <v>0</v>
      </c>
      <c r="V314" s="150">
        <f t="shared" si="68"/>
        <v>0</v>
      </c>
      <c r="W314" s="150">
        <f t="shared" si="68"/>
        <v>6105.0792191634855</v>
      </c>
      <c r="X314" s="150">
        <f t="shared" si="68"/>
        <v>0</v>
      </c>
      <c r="Y314" s="150">
        <f t="shared" si="68"/>
        <v>0</v>
      </c>
      <c r="Z314" s="150">
        <f t="shared" si="68"/>
        <v>0</v>
      </c>
      <c r="AA314" s="150">
        <f t="shared" si="68"/>
        <v>0</v>
      </c>
      <c r="AB314" s="150">
        <f t="shared" si="68"/>
        <v>0</v>
      </c>
      <c r="AC314" s="150">
        <f t="shared" si="68"/>
        <v>0</v>
      </c>
      <c r="AD314" s="150">
        <f t="shared" si="68"/>
        <v>0</v>
      </c>
      <c r="AE314" s="150">
        <f t="shared" si="68"/>
        <v>0</v>
      </c>
      <c r="AF314" s="150">
        <f t="shared" si="68"/>
        <v>0</v>
      </c>
      <c r="AG314" s="150">
        <f t="shared" si="68"/>
        <v>0</v>
      </c>
    </row>
    <row r="315" spans="2:33" ht="14.25" customHeight="1" outlineLevel="1" thickBot="1">
      <c r="B315" s="186"/>
      <c r="C315" s="187" t="str">
        <f t="shared" si="66"/>
        <v>Battery Storage System</v>
      </c>
      <c r="D315" s="186"/>
      <c r="H315" s="150"/>
      <c r="I315" s="150">
        <f t="shared" ref="I315:AG315" si="69">I105</f>
        <v>0</v>
      </c>
      <c r="J315" s="150">
        <f t="shared" si="69"/>
        <v>0</v>
      </c>
      <c r="K315" s="150">
        <f t="shared" si="69"/>
        <v>0</v>
      </c>
      <c r="L315" s="150">
        <f t="shared" si="69"/>
        <v>0</v>
      </c>
      <c r="M315" s="150">
        <f t="shared" si="69"/>
        <v>0</v>
      </c>
      <c r="N315" s="150">
        <f t="shared" si="69"/>
        <v>0</v>
      </c>
      <c r="O315" s="150">
        <f t="shared" si="69"/>
        <v>0</v>
      </c>
      <c r="P315" s="150">
        <f t="shared" si="69"/>
        <v>0</v>
      </c>
      <c r="Q315" s="150">
        <f t="shared" si="69"/>
        <v>0</v>
      </c>
      <c r="R315" s="150">
        <f t="shared" si="69"/>
        <v>0</v>
      </c>
      <c r="S315" s="150">
        <f t="shared" si="69"/>
        <v>0</v>
      </c>
      <c r="T315" s="150">
        <f t="shared" si="69"/>
        <v>0</v>
      </c>
      <c r="U315" s="150">
        <f t="shared" si="69"/>
        <v>0</v>
      </c>
      <c r="V315" s="150">
        <f t="shared" si="69"/>
        <v>0</v>
      </c>
      <c r="W315" s="150">
        <f t="shared" si="69"/>
        <v>0</v>
      </c>
      <c r="X315" s="150">
        <f t="shared" si="69"/>
        <v>0</v>
      </c>
      <c r="Y315" s="150">
        <f t="shared" si="69"/>
        <v>0</v>
      </c>
      <c r="Z315" s="150">
        <f t="shared" si="69"/>
        <v>0</v>
      </c>
      <c r="AA315" s="150">
        <f t="shared" si="69"/>
        <v>0</v>
      </c>
      <c r="AB315" s="150">
        <f t="shared" si="69"/>
        <v>0</v>
      </c>
      <c r="AC315" s="150">
        <f t="shared" si="69"/>
        <v>0</v>
      </c>
      <c r="AD315" s="150">
        <f t="shared" si="69"/>
        <v>0</v>
      </c>
      <c r="AE315" s="150">
        <f t="shared" si="69"/>
        <v>0</v>
      </c>
      <c r="AF315" s="150">
        <f t="shared" si="69"/>
        <v>0</v>
      </c>
      <c r="AG315" s="150">
        <f t="shared" si="69"/>
        <v>0</v>
      </c>
    </row>
    <row r="316" spans="2:33" ht="14.25" customHeight="1" outlineLevel="1" thickBot="1">
      <c r="B316" s="186"/>
      <c r="C316" s="187" t="str">
        <f t="shared" si="66"/>
        <v>Battery Inverter / Converter</v>
      </c>
      <c r="D316" s="186"/>
      <c r="H316" s="150"/>
      <c r="I316" s="150">
        <f t="shared" ref="I316:AG316" si="70">I92</f>
        <v>0</v>
      </c>
      <c r="J316" s="150">
        <f t="shared" si="70"/>
        <v>0</v>
      </c>
      <c r="K316" s="150">
        <f t="shared" si="70"/>
        <v>0</v>
      </c>
      <c r="L316" s="150">
        <f t="shared" si="70"/>
        <v>0</v>
      </c>
      <c r="M316" s="150">
        <f t="shared" si="70"/>
        <v>0</v>
      </c>
      <c r="N316" s="150">
        <f t="shared" si="70"/>
        <v>0</v>
      </c>
      <c r="O316" s="150">
        <f t="shared" si="70"/>
        <v>0</v>
      </c>
      <c r="P316" s="150">
        <f t="shared" si="70"/>
        <v>0</v>
      </c>
      <c r="Q316" s="150">
        <f t="shared" si="70"/>
        <v>0</v>
      </c>
      <c r="R316" s="150">
        <f t="shared" si="70"/>
        <v>0</v>
      </c>
      <c r="S316" s="150">
        <f t="shared" si="70"/>
        <v>0</v>
      </c>
      <c r="T316" s="150">
        <f t="shared" si="70"/>
        <v>0</v>
      </c>
      <c r="U316" s="150">
        <f t="shared" si="70"/>
        <v>0</v>
      </c>
      <c r="V316" s="150">
        <f t="shared" si="70"/>
        <v>0</v>
      </c>
      <c r="W316" s="150">
        <f t="shared" si="70"/>
        <v>0</v>
      </c>
      <c r="X316" s="150">
        <f t="shared" si="70"/>
        <v>0</v>
      </c>
      <c r="Y316" s="150">
        <f t="shared" si="70"/>
        <v>0</v>
      </c>
      <c r="Z316" s="150">
        <f t="shared" si="70"/>
        <v>0</v>
      </c>
      <c r="AA316" s="150">
        <f t="shared" si="70"/>
        <v>0</v>
      </c>
      <c r="AB316" s="150">
        <f t="shared" si="70"/>
        <v>0</v>
      </c>
      <c r="AC316" s="150">
        <f t="shared" si="70"/>
        <v>0</v>
      </c>
      <c r="AD316" s="150">
        <f t="shared" si="70"/>
        <v>0</v>
      </c>
      <c r="AE316" s="150">
        <f t="shared" si="70"/>
        <v>0</v>
      </c>
      <c r="AF316" s="150">
        <f t="shared" si="70"/>
        <v>0</v>
      </c>
      <c r="AG316" s="150">
        <f t="shared" si="70"/>
        <v>0</v>
      </c>
    </row>
    <row r="317" spans="2:33" ht="14.25" customHeight="1" outlineLevel="1" thickBot="1">
      <c r="B317" s="186"/>
      <c r="C317" s="187" t="str">
        <f t="shared" si="66"/>
        <v>Diesel Genset (Optional)</v>
      </c>
      <c r="D317" s="186"/>
      <c r="H317" s="151"/>
      <c r="I317" s="150">
        <f t="shared" ref="I317:AG317" si="71">I96</f>
        <v>0</v>
      </c>
      <c r="J317" s="150">
        <f t="shared" si="71"/>
        <v>0</v>
      </c>
      <c r="K317" s="150">
        <f t="shared" si="71"/>
        <v>0</v>
      </c>
      <c r="L317" s="150">
        <f t="shared" si="71"/>
        <v>0</v>
      </c>
      <c r="M317" s="150">
        <f t="shared" si="71"/>
        <v>0</v>
      </c>
      <c r="N317" s="150">
        <f t="shared" si="71"/>
        <v>0</v>
      </c>
      <c r="O317" s="150">
        <f t="shared" si="71"/>
        <v>0</v>
      </c>
      <c r="P317" s="150">
        <f t="shared" si="71"/>
        <v>0</v>
      </c>
      <c r="Q317" s="150">
        <f t="shared" si="71"/>
        <v>0</v>
      </c>
      <c r="R317" s="150">
        <f t="shared" si="71"/>
        <v>0</v>
      </c>
      <c r="S317" s="150">
        <f t="shared" si="71"/>
        <v>0</v>
      </c>
      <c r="T317" s="150">
        <f t="shared" si="71"/>
        <v>0</v>
      </c>
      <c r="U317" s="150">
        <f t="shared" si="71"/>
        <v>0</v>
      </c>
      <c r="V317" s="150">
        <f t="shared" si="71"/>
        <v>0</v>
      </c>
      <c r="W317" s="150">
        <f t="shared" si="71"/>
        <v>0</v>
      </c>
      <c r="X317" s="150">
        <f t="shared" si="71"/>
        <v>0</v>
      </c>
      <c r="Y317" s="150">
        <f t="shared" si="71"/>
        <v>0</v>
      </c>
      <c r="Z317" s="150">
        <f t="shared" si="71"/>
        <v>0</v>
      </c>
      <c r="AA317" s="150">
        <f t="shared" si="71"/>
        <v>0</v>
      </c>
      <c r="AB317" s="150">
        <f t="shared" si="71"/>
        <v>0</v>
      </c>
      <c r="AC317" s="150">
        <f t="shared" si="71"/>
        <v>0</v>
      </c>
      <c r="AD317" s="150">
        <f t="shared" si="71"/>
        <v>0</v>
      </c>
      <c r="AE317" s="150">
        <f t="shared" si="71"/>
        <v>0</v>
      </c>
      <c r="AF317" s="150">
        <f t="shared" si="71"/>
        <v>0</v>
      </c>
      <c r="AG317" s="150">
        <f t="shared" si="71"/>
        <v>0</v>
      </c>
    </row>
    <row r="318" spans="2:33" ht="14.25" customHeight="1" outlineLevel="1" thickBot="1">
      <c r="B318" s="186"/>
      <c r="C318" s="187" t="str">
        <f t="shared" si="66"/>
        <v>Mounting Structure</v>
      </c>
      <c r="D318" s="186"/>
      <c r="F318" s="128"/>
      <c r="H318" s="151"/>
      <c r="I318" s="150">
        <f t="shared" ref="I318:AG318" si="72">I101</f>
        <v>0</v>
      </c>
      <c r="J318" s="150">
        <f t="shared" si="72"/>
        <v>0</v>
      </c>
      <c r="K318" s="150">
        <f t="shared" si="72"/>
        <v>0</v>
      </c>
      <c r="L318" s="150">
        <f t="shared" si="72"/>
        <v>0</v>
      </c>
      <c r="M318" s="150">
        <f t="shared" si="72"/>
        <v>0</v>
      </c>
      <c r="N318" s="150">
        <f t="shared" si="72"/>
        <v>0</v>
      </c>
      <c r="O318" s="150">
        <f t="shared" si="72"/>
        <v>0</v>
      </c>
      <c r="P318" s="150">
        <f t="shared" si="72"/>
        <v>0</v>
      </c>
      <c r="Q318" s="150">
        <f t="shared" si="72"/>
        <v>0</v>
      </c>
      <c r="R318" s="150">
        <f t="shared" si="72"/>
        <v>0</v>
      </c>
      <c r="S318" s="150">
        <f t="shared" si="72"/>
        <v>0</v>
      </c>
      <c r="T318" s="150">
        <f t="shared" si="72"/>
        <v>0</v>
      </c>
      <c r="U318" s="150">
        <f t="shared" si="72"/>
        <v>0</v>
      </c>
      <c r="V318" s="150">
        <f t="shared" si="72"/>
        <v>0</v>
      </c>
      <c r="W318" s="150">
        <f t="shared" si="72"/>
        <v>0</v>
      </c>
      <c r="X318" s="150">
        <f t="shared" si="72"/>
        <v>0</v>
      </c>
      <c r="Y318" s="150">
        <f t="shared" si="72"/>
        <v>0</v>
      </c>
      <c r="Z318" s="150">
        <f t="shared" si="72"/>
        <v>0</v>
      </c>
      <c r="AA318" s="150">
        <f t="shared" si="72"/>
        <v>0</v>
      </c>
      <c r="AB318" s="150">
        <f t="shared" si="72"/>
        <v>0</v>
      </c>
      <c r="AC318" s="150">
        <f t="shared" si="72"/>
        <v>0</v>
      </c>
      <c r="AD318" s="150">
        <f t="shared" si="72"/>
        <v>0</v>
      </c>
      <c r="AE318" s="150">
        <f t="shared" si="72"/>
        <v>0</v>
      </c>
      <c r="AF318" s="150">
        <f t="shared" si="72"/>
        <v>0</v>
      </c>
      <c r="AG318" s="150">
        <f t="shared" si="72"/>
        <v>0</v>
      </c>
    </row>
    <row r="319" spans="2:33" ht="14.5" outlineLevel="1" thickBot="1">
      <c r="B319" s="186"/>
      <c r="C319" s="173" t="s">
        <v>433</v>
      </c>
      <c r="D319" s="333">
        <f>SUM(I319:AG319)</f>
        <v>6105.0792191634855</v>
      </c>
      <c r="F319" s="128"/>
      <c r="H319" s="156"/>
      <c r="I319" s="271">
        <f>SUM(I313:I318)</f>
        <v>0</v>
      </c>
      <c r="J319" s="271">
        <f t="shared" ref="J319:AG319" si="73">SUM(J313:J318)</f>
        <v>0</v>
      </c>
      <c r="K319" s="271">
        <f t="shared" si="73"/>
        <v>0</v>
      </c>
      <c r="L319" s="271">
        <f t="shared" si="73"/>
        <v>0</v>
      </c>
      <c r="M319" s="271">
        <f t="shared" si="73"/>
        <v>0</v>
      </c>
      <c r="N319" s="271">
        <f t="shared" si="73"/>
        <v>0</v>
      </c>
      <c r="O319" s="271">
        <f t="shared" si="73"/>
        <v>0</v>
      </c>
      <c r="P319" s="271">
        <f>SUM(P313:P318)</f>
        <v>0</v>
      </c>
      <c r="Q319" s="271">
        <f t="shared" si="73"/>
        <v>0</v>
      </c>
      <c r="R319" s="271">
        <f t="shared" si="73"/>
        <v>0</v>
      </c>
      <c r="S319" s="271">
        <f t="shared" si="73"/>
        <v>0</v>
      </c>
      <c r="T319" s="271">
        <f t="shared" si="73"/>
        <v>0</v>
      </c>
      <c r="U319" s="271">
        <f t="shared" si="73"/>
        <v>0</v>
      </c>
      <c r="V319" s="271">
        <f t="shared" si="73"/>
        <v>0</v>
      </c>
      <c r="W319" s="271">
        <f t="shared" si="73"/>
        <v>6105.0792191634855</v>
      </c>
      <c r="X319" s="271">
        <f t="shared" si="73"/>
        <v>0</v>
      </c>
      <c r="Y319" s="271">
        <f t="shared" si="73"/>
        <v>0</v>
      </c>
      <c r="Z319" s="271">
        <f t="shared" si="73"/>
        <v>0</v>
      </c>
      <c r="AA319" s="271">
        <f t="shared" si="73"/>
        <v>0</v>
      </c>
      <c r="AB319" s="271">
        <f t="shared" si="73"/>
        <v>0</v>
      </c>
      <c r="AC319" s="271">
        <f t="shared" si="73"/>
        <v>0</v>
      </c>
      <c r="AD319" s="271">
        <f t="shared" si="73"/>
        <v>0</v>
      </c>
      <c r="AE319" s="271">
        <f t="shared" si="73"/>
        <v>0</v>
      </c>
      <c r="AF319" s="271">
        <f t="shared" si="73"/>
        <v>0</v>
      </c>
      <c r="AG319" s="271">
        <f t="shared" si="73"/>
        <v>0</v>
      </c>
    </row>
    <row r="320" spans="2:33" ht="14.25" customHeight="1" thickBot="1">
      <c r="F320" s="128"/>
      <c r="I320" s="189"/>
      <c r="J320" s="189"/>
      <c r="K320" s="189"/>
      <c r="L320" s="189"/>
      <c r="M320" s="189"/>
      <c r="N320" s="189"/>
      <c r="O320" s="189"/>
      <c r="P320" s="189"/>
      <c r="Q320" s="189"/>
      <c r="R320" s="189"/>
      <c r="S320" s="189"/>
      <c r="T320" s="189"/>
      <c r="U320" s="189"/>
      <c r="V320" s="189"/>
      <c r="W320" s="189"/>
      <c r="X320" s="189"/>
      <c r="Y320" s="189"/>
      <c r="Z320" s="189"/>
      <c r="AA320" s="189"/>
      <c r="AB320" s="189"/>
      <c r="AC320" s="189"/>
      <c r="AD320" s="189"/>
      <c r="AE320" s="189"/>
      <c r="AF320" s="189"/>
      <c r="AG320" s="189"/>
    </row>
    <row r="321" spans="2:33" ht="14.5" outlineLevel="1" thickBot="1">
      <c r="B321" s="186"/>
      <c r="C321" s="173" t="s">
        <v>434</v>
      </c>
      <c r="D321" s="186"/>
      <c r="F321" s="128"/>
      <c r="H321" s="334"/>
      <c r="I321" s="335">
        <f>D309-I309+I319</f>
        <v>52927.571487179484</v>
      </c>
      <c r="J321" s="335">
        <f t="shared" ref="J321:AG321" si="74">I321-J309+J319</f>
        <v>50264.407260073254</v>
      </c>
      <c r="K321" s="335">
        <f t="shared" si="74"/>
        <v>47601.243032967024</v>
      </c>
      <c r="L321" s="335">
        <f t="shared" si="74"/>
        <v>44938.078805860794</v>
      </c>
      <c r="M321" s="335">
        <f t="shared" si="74"/>
        <v>42274.914578754564</v>
      </c>
      <c r="N321" s="335">
        <f t="shared" si="74"/>
        <v>39611.750351648334</v>
      </c>
      <c r="O321" s="335">
        <f t="shared" si="74"/>
        <v>36948.586124542104</v>
      </c>
      <c r="P321" s="335">
        <f t="shared" si="74"/>
        <v>34285.421897435874</v>
      </c>
      <c r="Q321" s="335">
        <f t="shared" si="74"/>
        <v>31622.257670329647</v>
      </c>
      <c r="R321" s="335">
        <f t="shared" si="74"/>
        <v>28959.093443223421</v>
      </c>
      <c r="S321" s="335">
        <f>R321-S309+S319</f>
        <v>26295.929216117194</v>
      </c>
      <c r="T321" s="335">
        <f t="shared" si="74"/>
        <v>23632.764989010968</v>
      </c>
      <c r="U321" s="335">
        <f t="shared" si="74"/>
        <v>20969.600761904741</v>
      </c>
      <c r="V321" s="335">
        <f t="shared" si="74"/>
        <v>18306.436534798515</v>
      </c>
      <c r="W321" s="335">
        <f t="shared" si="74"/>
        <v>21748.351526855775</v>
      </c>
      <c r="X321" s="335">
        <f t="shared" si="74"/>
        <v>19801.991542281507</v>
      </c>
      <c r="Y321" s="335">
        <f t="shared" si="74"/>
        <v>17855.631557707238</v>
      </c>
      <c r="Z321" s="335">
        <f t="shared" si="74"/>
        <v>15909.27157313297</v>
      </c>
      <c r="AA321" s="335">
        <f t="shared" si="74"/>
        <v>13962.911588558702</v>
      </c>
      <c r="AB321" s="335">
        <f t="shared" si="74"/>
        <v>12016.551603984433</v>
      </c>
      <c r="AC321" s="335">
        <f t="shared" si="74"/>
        <v>10070.191619410165</v>
      </c>
      <c r="AD321" s="335">
        <f t="shared" si="74"/>
        <v>8123.8316348358958</v>
      </c>
      <c r="AE321" s="335">
        <f t="shared" si="74"/>
        <v>6177.4716502616266</v>
      </c>
      <c r="AF321" s="335">
        <f t="shared" si="74"/>
        <v>4231.1116656873573</v>
      </c>
      <c r="AG321" s="335">
        <f t="shared" si="74"/>
        <v>2284.7516811130881</v>
      </c>
    </row>
    <row r="322" spans="2:33" ht="14.25" customHeight="1">
      <c r="F322" s="128"/>
    </row>
    <row r="323" spans="2:33" s="248" customFormat="1" ht="23.5" thickBot="1">
      <c r="B323" s="129"/>
      <c r="C323" s="336" t="s">
        <v>435</v>
      </c>
      <c r="D323" s="143"/>
      <c r="E323" s="143"/>
      <c r="F323" s="245"/>
      <c r="G323" s="237" t="s">
        <v>432</v>
      </c>
      <c r="H323" s="237">
        <f t="shared" ref="H323:AG323" si="75">H2</f>
        <v>2025</v>
      </c>
      <c r="I323" s="237">
        <f t="shared" si="75"/>
        <v>2026</v>
      </c>
      <c r="J323" s="237">
        <f t="shared" si="75"/>
        <v>2027</v>
      </c>
      <c r="K323" s="237">
        <f t="shared" si="75"/>
        <v>2028</v>
      </c>
      <c r="L323" s="237">
        <f t="shared" si="75"/>
        <v>2029</v>
      </c>
      <c r="M323" s="237">
        <f t="shared" si="75"/>
        <v>2030</v>
      </c>
      <c r="N323" s="237">
        <f t="shared" si="75"/>
        <v>2031</v>
      </c>
      <c r="O323" s="237">
        <f t="shared" si="75"/>
        <v>2032</v>
      </c>
      <c r="P323" s="237">
        <f t="shared" si="75"/>
        <v>2033</v>
      </c>
      <c r="Q323" s="237">
        <f t="shared" si="75"/>
        <v>2034</v>
      </c>
      <c r="R323" s="237">
        <f t="shared" si="75"/>
        <v>2035</v>
      </c>
      <c r="S323" s="237">
        <f t="shared" si="75"/>
        <v>2036</v>
      </c>
      <c r="T323" s="237">
        <f t="shared" si="75"/>
        <v>2037</v>
      </c>
      <c r="U323" s="237">
        <f t="shared" si="75"/>
        <v>2038</v>
      </c>
      <c r="V323" s="237">
        <f t="shared" si="75"/>
        <v>2039</v>
      </c>
      <c r="W323" s="237">
        <f t="shared" si="75"/>
        <v>2040</v>
      </c>
      <c r="X323" s="237">
        <f t="shared" si="75"/>
        <v>2041</v>
      </c>
      <c r="Y323" s="237">
        <f t="shared" si="75"/>
        <v>2042</v>
      </c>
      <c r="Z323" s="237">
        <f t="shared" si="75"/>
        <v>2043</v>
      </c>
      <c r="AA323" s="237">
        <f t="shared" si="75"/>
        <v>2044</v>
      </c>
      <c r="AB323" s="237">
        <f t="shared" si="75"/>
        <v>2045</v>
      </c>
      <c r="AC323" s="237">
        <f t="shared" si="75"/>
        <v>2046</v>
      </c>
      <c r="AD323" s="237">
        <f t="shared" si="75"/>
        <v>2047</v>
      </c>
      <c r="AE323" s="237">
        <f t="shared" si="75"/>
        <v>2048</v>
      </c>
      <c r="AF323" s="237">
        <f t="shared" si="75"/>
        <v>2049</v>
      </c>
      <c r="AG323" s="237">
        <f t="shared" si="75"/>
        <v>2050</v>
      </c>
    </row>
    <row r="324" spans="2:33" ht="14.25" customHeight="1" outlineLevel="1" thickBot="1">
      <c r="B324" s="186"/>
      <c r="C324" s="337" t="str">
        <f>C396</f>
        <v>Loan Opening Balance</v>
      </c>
      <c r="D324" s="338"/>
      <c r="E324" s="338"/>
      <c r="F324" s="128"/>
      <c r="H324" s="150">
        <f>H396</f>
        <v>31151.617857142857</v>
      </c>
      <c r="I324" s="150">
        <f t="shared" ref="I324:AG325" si="76">I396</f>
        <v>31151.617857142857</v>
      </c>
      <c r="J324" s="150">
        <f t="shared" ca="1" si="76"/>
        <v>26248.050040720009</v>
      </c>
      <c r="K324" s="150">
        <f t="shared" ca="1" si="76"/>
        <v>20756.054086326418</v>
      </c>
      <c r="L324" s="150">
        <f t="shared" ca="1" si="76"/>
        <v>14605.018617405596</v>
      </c>
      <c r="M324" s="150">
        <f t="shared" ca="1" si="76"/>
        <v>7715.8588922142753</v>
      </c>
      <c r="N324" s="150">
        <f t="shared" ca="1" si="76"/>
        <v>-4.5474735088646412E-12</v>
      </c>
      <c r="O324" s="150">
        <f t="shared" ca="1" si="76"/>
        <v>-4.5474735088646412E-12</v>
      </c>
      <c r="P324" s="150">
        <f t="shared" ca="1" si="76"/>
        <v>-4.5474735088646412E-12</v>
      </c>
      <c r="Q324" s="150">
        <f t="shared" ca="1" si="76"/>
        <v>-4.5474735088646412E-12</v>
      </c>
      <c r="R324" s="150">
        <f t="shared" ca="1" si="76"/>
        <v>-4.5474735088646412E-12</v>
      </c>
      <c r="S324" s="150">
        <f t="shared" ca="1" si="76"/>
        <v>-4.5474735088646412E-12</v>
      </c>
      <c r="T324" s="150">
        <f t="shared" ca="1" si="76"/>
        <v>-4.5474735088646412E-12</v>
      </c>
      <c r="U324" s="150">
        <f t="shared" ca="1" si="76"/>
        <v>-4.5474735088646412E-12</v>
      </c>
      <c r="V324" s="150">
        <f t="shared" ca="1" si="76"/>
        <v>-4.5474735088646412E-12</v>
      </c>
      <c r="W324" s="150">
        <f t="shared" ca="1" si="76"/>
        <v>-4.5474735088646412E-12</v>
      </c>
      <c r="X324" s="150">
        <f t="shared" ca="1" si="76"/>
        <v>-4.5474735088646412E-12</v>
      </c>
      <c r="Y324" s="150">
        <f t="shared" ca="1" si="76"/>
        <v>-4.5474735088646412E-12</v>
      </c>
      <c r="Z324" s="150">
        <f t="shared" ca="1" si="76"/>
        <v>-4.5474735088646412E-12</v>
      </c>
      <c r="AA324" s="150">
        <f t="shared" ca="1" si="76"/>
        <v>-4.5474735088646412E-12</v>
      </c>
      <c r="AB324" s="150">
        <f t="shared" ca="1" si="76"/>
        <v>-4.5474735088646412E-12</v>
      </c>
      <c r="AC324" s="150">
        <f t="shared" ca="1" si="76"/>
        <v>-4.5474735088646412E-12</v>
      </c>
      <c r="AD324" s="150">
        <f t="shared" ca="1" si="76"/>
        <v>-4.5474735088646412E-12</v>
      </c>
      <c r="AE324" s="150">
        <f t="shared" ca="1" si="76"/>
        <v>-4.5474735088646412E-12</v>
      </c>
      <c r="AF324" s="150">
        <f t="shared" ca="1" si="76"/>
        <v>-4.5474735088646412E-12</v>
      </c>
      <c r="AG324" s="150">
        <f t="shared" ca="1" si="76"/>
        <v>-4.5474735088646412E-12</v>
      </c>
    </row>
    <row r="325" spans="2:33" ht="14.25" customHeight="1" outlineLevel="1" thickBot="1">
      <c r="B325" s="186"/>
      <c r="C325" s="337" t="str">
        <f>C397</f>
        <v>Principal Repayment</v>
      </c>
      <c r="D325" s="338"/>
      <c r="E325" s="338"/>
      <c r="F325" s="128"/>
      <c r="H325" s="151">
        <f t="shared" ref="H325:W325" si="77">H397</f>
        <v>0</v>
      </c>
      <c r="I325" s="150">
        <f t="shared" ca="1" si="77"/>
        <v>4903.5678164228502</v>
      </c>
      <c r="J325" s="150">
        <f t="shared" ca="1" si="77"/>
        <v>5491.9959543935911</v>
      </c>
      <c r="K325" s="150">
        <f t="shared" ca="1" si="77"/>
        <v>6151.0354689208225</v>
      </c>
      <c r="L325" s="150">
        <f t="shared" ca="1" si="77"/>
        <v>6889.1597251913208</v>
      </c>
      <c r="M325" s="150">
        <f t="shared" ca="1" si="77"/>
        <v>7715.8588922142799</v>
      </c>
      <c r="N325" s="150">
        <f t="shared" ca="1" si="77"/>
        <v>0</v>
      </c>
      <c r="O325" s="150">
        <f t="shared" ca="1" si="77"/>
        <v>0</v>
      </c>
      <c r="P325" s="150">
        <f t="shared" ca="1" si="77"/>
        <v>0</v>
      </c>
      <c r="Q325" s="150">
        <f t="shared" ca="1" si="77"/>
        <v>0</v>
      </c>
      <c r="R325" s="150">
        <f t="shared" ca="1" si="77"/>
        <v>0</v>
      </c>
      <c r="S325" s="150">
        <f t="shared" ca="1" si="77"/>
        <v>0</v>
      </c>
      <c r="T325" s="150">
        <f t="shared" ca="1" si="77"/>
        <v>0</v>
      </c>
      <c r="U325" s="150">
        <f t="shared" ca="1" si="77"/>
        <v>0</v>
      </c>
      <c r="V325" s="150">
        <f t="shared" ca="1" si="77"/>
        <v>0</v>
      </c>
      <c r="W325" s="150">
        <f t="shared" ca="1" si="77"/>
        <v>0</v>
      </c>
      <c r="X325" s="150">
        <f t="shared" ca="1" si="76"/>
        <v>0</v>
      </c>
      <c r="Y325" s="150">
        <f t="shared" ca="1" si="76"/>
        <v>0</v>
      </c>
      <c r="Z325" s="150">
        <f t="shared" ca="1" si="76"/>
        <v>0</v>
      </c>
      <c r="AA325" s="150">
        <f t="shared" ca="1" si="76"/>
        <v>0</v>
      </c>
      <c r="AB325" s="150">
        <f t="shared" ca="1" si="76"/>
        <v>0</v>
      </c>
      <c r="AC325" s="150">
        <f t="shared" ca="1" si="76"/>
        <v>0</v>
      </c>
      <c r="AD325" s="150">
        <f t="shared" ca="1" si="76"/>
        <v>0</v>
      </c>
      <c r="AE325" s="150">
        <f t="shared" ca="1" si="76"/>
        <v>0</v>
      </c>
      <c r="AF325" s="150">
        <f t="shared" ca="1" si="76"/>
        <v>0</v>
      </c>
      <c r="AG325" s="150">
        <f t="shared" ca="1" si="76"/>
        <v>0</v>
      </c>
    </row>
    <row r="326" spans="2:33" ht="14.25" customHeight="1" outlineLevel="1" thickBot="1">
      <c r="B326" s="186"/>
      <c r="C326" s="337" t="str">
        <f>C399</f>
        <v>Standard Loan Interest Expenses</v>
      </c>
      <c r="D326" s="338"/>
      <c r="E326" s="338"/>
      <c r="F326" s="128"/>
      <c r="H326" s="151">
        <f t="shared" ref="H326:AG326" si="78">H399</f>
        <v>0</v>
      </c>
      <c r="I326" s="150">
        <f t="shared" si="78"/>
        <v>3738.1941428571427</v>
      </c>
      <c r="J326" s="150">
        <f t="shared" ca="1" si="78"/>
        <v>3149.7660048864009</v>
      </c>
      <c r="K326" s="150">
        <f t="shared" ca="1" si="78"/>
        <v>2490.7264903591699</v>
      </c>
      <c r="L326" s="150">
        <f t="shared" ca="1" si="78"/>
        <v>1752.6022340886714</v>
      </c>
      <c r="M326" s="150">
        <f t="shared" ca="1" si="78"/>
        <v>925.903067065713</v>
      </c>
      <c r="N326" s="150">
        <f t="shared" ca="1" si="78"/>
        <v>-5.4569682106375692E-13</v>
      </c>
      <c r="O326" s="150">
        <f t="shared" ca="1" si="78"/>
        <v>-5.4569682106375692E-13</v>
      </c>
      <c r="P326" s="150">
        <f t="shared" ca="1" si="78"/>
        <v>-5.4569682106375692E-13</v>
      </c>
      <c r="Q326" s="150">
        <f t="shared" ca="1" si="78"/>
        <v>-5.4569682106375692E-13</v>
      </c>
      <c r="R326" s="150">
        <f t="shared" ca="1" si="78"/>
        <v>-5.4569682106375692E-13</v>
      </c>
      <c r="S326" s="150">
        <f t="shared" ca="1" si="78"/>
        <v>-5.4569682106375692E-13</v>
      </c>
      <c r="T326" s="150">
        <f t="shared" ca="1" si="78"/>
        <v>-5.4569682106375692E-13</v>
      </c>
      <c r="U326" s="150">
        <f t="shared" ca="1" si="78"/>
        <v>-5.4569682106375692E-13</v>
      </c>
      <c r="V326" s="150">
        <f t="shared" ca="1" si="78"/>
        <v>-5.4569682106375692E-13</v>
      </c>
      <c r="W326" s="150">
        <f t="shared" ca="1" si="78"/>
        <v>-5.4569682106375692E-13</v>
      </c>
      <c r="X326" s="150">
        <f t="shared" ca="1" si="78"/>
        <v>-5.4569682106375692E-13</v>
      </c>
      <c r="Y326" s="150">
        <f t="shared" ca="1" si="78"/>
        <v>-5.4569682106375692E-13</v>
      </c>
      <c r="Z326" s="150">
        <f t="shared" ca="1" si="78"/>
        <v>-5.4569682106375692E-13</v>
      </c>
      <c r="AA326" s="150">
        <f t="shared" ca="1" si="78"/>
        <v>-5.4569682106375692E-13</v>
      </c>
      <c r="AB326" s="150">
        <f t="shared" ca="1" si="78"/>
        <v>-5.4569682106375692E-13</v>
      </c>
      <c r="AC326" s="150">
        <f t="shared" ca="1" si="78"/>
        <v>-5.4569682106375692E-13</v>
      </c>
      <c r="AD326" s="150">
        <f t="shared" ca="1" si="78"/>
        <v>-5.4569682106375692E-13</v>
      </c>
      <c r="AE326" s="150">
        <f t="shared" ca="1" si="78"/>
        <v>-5.4569682106375692E-13</v>
      </c>
      <c r="AF326" s="150">
        <f t="shared" ca="1" si="78"/>
        <v>-5.4569682106375692E-13</v>
      </c>
      <c r="AG326" s="150">
        <f t="shared" ca="1" si="78"/>
        <v>-5.4569682106375692E-13</v>
      </c>
    </row>
    <row r="327" spans="2:33" ht="14.25" customHeight="1" thickBot="1">
      <c r="B327" s="186"/>
      <c r="C327" s="173" t="str">
        <f>C398</f>
        <v>Loan Closing Balance</v>
      </c>
      <c r="D327" s="338"/>
      <c r="E327" s="338"/>
      <c r="F327" s="128"/>
      <c r="H327" s="156">
        <f t="shared" ref="H327:AG327" si="79">H398</f>
        <v>31151.617857142857</v>
      </c>
      <c r="I327" s="271">
        <f t="shared" ca="1" si="79"/>
        <v>26248.050040720009</v>
      </c>
      <c r="J327" s="271">
        <f t="shared" ca="1" si="79"/>
        <v>20756.054086326418</v>
      </c>
      <c r="K327" s="271">
        <f t="shared" ca="1" si="79"/>
        <v>14605.018617405596</v>
      </c>
      <c r="L327" s="271">
        <f t="shared" ca="1" si="79"/>
        <v>7715.8588922142753</v>
      </c>
      <c r="M327" s="271">
        <f t="shared" ca="1" si="79"/>
        <v>0</v>
      </c>
      <c r="N327" s="271">
        <f t="shared" ca="1" si="79"/>
        <v>-4.5474735088646412E-12</v>
      </c>
      <c r="O327" s="271">
        <f t="shared" ca="1" si="79"/>
        <v>-4.5474735088646412E-12</v>
      </c>
      <c r="P327" s="271">
        <f t="shared" ca="1" si="79"/>
        <v>-4.5474735088646412E-12</v>
      </c>
      <c r="Q327" s="271">
        <f t="shared" ca="1" si="79"/>
        <v>-4.5474735088646412E-12</v>
      </c>
      <c r="R327" s="271">
        <f t="shared" ca="1" si="79"/>
        <v>-4.5474735088646412E-12</v>
      </c>
      <c r="S327" s="271">
        <f t="shared" ca="1" si="79"/>
        <v>-4.5474735088646412E-12</v>
      </c>
      <c r="T327" s="271">
        <f t="shared" ca="1" si="79"/>
        <v>-4.5474735088646412E-12</v>
      </c>
      <c r="U327" s="271">
        <f t="shared" ca="1" si="79"/>
        <v>-4.5474735088646412E-12</v>
      </c>
      <c r="V327" s="271">
        <f t="shared" ca="1" si="79"/>
        <v>-4.5474735088646412E-12</v>
      </c>
      <c r="W327" s="271">
        <f t="shared" ca="1" si="79"/>
        <v>-4.5474735088646412E-12</v>
      </c>
      <c r="X327" s="271">
        <f t="shared" ca="1" si="79"/>
        <v>-4.5474735088646412E-12</v>
      </c>
      <c r="Y327" s="271">
        <f t="shared" ca="1" si="79"/>
        <v>-4.5474735088646412E-12</v>
      </c>
      <c r="Z327" s="271">
        <f t="shared" ca="1" si="79"/>
        <v>-4.5474735088646412E-12</v>
      </c>
      <c r="AA327" s="271">
        <f t="shared" ca="1" si="79"/>
        <v>-4.5474735088646412E-12</v>
      </c>
      <c r="AB327" s="271">
        <f t="shared" ca="1" si="79"/>
        <v>-4.5474735088646412E-12</v>
      </c>
      <c r="AC327" s="271">
        <f t="shared" ca="1" si="79"/>
        <v>-4.5474735088646412E-12</v>
      </c>
      <c r="AD327" s="271">
        <f t="shared" ca="1" si="79"/>
        <v>-4.5474735088646412E-12</v>
      </c>
      <c r="AE327" s="271">
        <f t="shared" ca="1" si="79"/>
        <v>-4.5474735088646412E-12</v>
      </c>
      <c r="AF327" s="271">
        <f t="shared" ca="1" si="79"/>
        <v>-4.5474735088646412E-12</v>
      </c>
      <c r="AG327" s="271">
        <f t="shared" ca="1" si="79"/>
        <v>-4.5474735088646412E-12</v>
      </c>
    </row>
    <row r="328" spans="2:33" ht="14.25" customHeight="1">
      <c r="F328" s="128"/>
    </row>
    <row r="329" spans="2:33" s="248" customFormat="1" ht="23.5" thickBot="1">
      <c r="B329" s="129"/>
      <c r="C329" s="336" t="s">
        <v>436</v>
      </c>
      <c r="D329" s="143"/>
      <c r="E329" s="143"/>
      <c r="F329" s="245"/>
      <c r="G329" s="237" t="s">
        <v>432</v>
      </c>
      <c r="H329" s="237">
        <f t="shared" ref="H329:AG329" si="80">H2</f>
        <v>2025</v>
      </c>
      <c r="I329" s="237">
        <f t="shared" si="80"/>
        <v>2026</v>
      </c>
      <c r="J329" s="237">
        <f t="shared" si="80"/>
        <v>2027</v>
      </c>
      <c r="K329" s="237">
        <f t="shared" si="80"/>
        <v>2028</v>
      </c>
      <c r="L329" s="237">
        <f t="shared" si="80"/>
        <v>2029</v>
      </c>
      <c r="M329" s="237">
        <f t="shared" si="80"/>
        <v>2030</v>
      </c>
      <c r="N329" s="237">
        <f t="shared" si="80"/>
        <v>2031</v>
      </c>
      <c r="O329" s="237">
        <f t="shared" si="80"/>
        <v>2032</v>
      </c>
      <c r="P329" s="237">
        <f t="shared" si="80"/>
        <v>2033</v>
      </c>
      <c r="Q329" s="237">
        <f t="shared" si="80"/>
        <v>2034</v>
      </c>
      <c r="R329" s="237">
        <f t="shared" si="80"/>
        <v>2035</v>
      </c>
      <c r="S329" s="237">
        <f t="shared" si="80"/>
        <v>2036</v>
      </c>
      <c r="T329" s="237">
        <f t="shared" si="80"/>
        <v>2037</v>
      </c>
      <c r="U329" s="237">
        <f t="shared" si="80"/>
        <v>2038</v>
      </c>
      <c r="V329" s="237">
        <f t="shared" si="80"/>
        <v>2039</v>
      </c>
      <c r="W329" s="237">
        <f t="shared" si="80"/>
        <v>2040</v>
      </c>
      <c r="X329" s="237">
        <f t="shared" si="80"/>
        <v>2041</v>
      </c>
      <c r="Y329" s="237">
        <f t="shared" si="80"/>
        <v>2042</v>
      </c>
      <c r="Z329" s="237">
        <f t="shared" si="80"/>
        <v>2043</v>
      </c>
      <c r="AA329" s="237">
        <f t="shared" si="80"/>
        <v>2044</v>
      </c>
      <c r="AB329" s="237">
        <f t="shared" si="80"/>
        <v>2045</v>
      </c>
      <c r="AC329" s="237">
        <f t="shared" si="80"/>
        <v>2046</v>
      </c>
      <c r="AD329" s="237">
        <f t="shared" si="80"/>
        <v>2047</v>
      </c>
      <c r="AE329" s="237">
        <f t="shared" si="80"/>
        <v>2048</v>
      </c>
      <c r="AF329" s="237">
        <f t="shared" si="80"/>
        <v>2049</v>
      </c>
      <c r="AG329" s="237">
        <f t="shared" si="80"/>
        <v>2050</v>
      </c>
    </row>
    <row r="330" spans="2:33" ht="14.25" customHeight="1" outlineLevel="1" thickBot="1">
      <c r="B330" s="186"/>
      <c r="C330" s="337" t="str">
        <f>C390</f>
        <v>Loan Opening Balance</v>
      </c>
      <c r="D330" s="338"/>
      <c r="E330" s="338"/>
      <c r="F330" s="128"/>
      <c r="H330" s="150">
        <f>H390</f>
        <v>0</v>
      </c>
      <c r="I330" s="150">
        <f t="shared" ref="I330:AG331" si="81">I390</f>
        <v>0</v>
      </c>
      <c r="J330" s="150">
        <f t="shared" ca="1" si="81"/>
        <v>0</v>
      </c>
      <c r="K330" s="150">
        <f t="shared" ca="1" si="81"/>
        <v>0</v>
      </c>
      <c r="L330" s="150">
        <f t="shared" ca="1" si="81"/>
        <v>0</v>
      </c>
      <c r="M330" s="150">
        <f t="shared" ca="1" si="81"/>
        <v>0</v>
      </c>
      <c r="N330" s="150">
        <f t="shared" ca="1" si="81"/>
        <v>0</v>
      </c>
      <c r="O330" s="150">
        <f t="shared" ca="1" si="81"/>
        <v>0</v>
      </c>
      <c r="P330" s="150">
        <f t="shared" ca="1" si="81"/>
        <v>0</v>
      </c>
      <c r="Q330" s="150">
        <f t="shared" ca="1" si="81"/>
        <v>0</v>
      </c>
      <c r="R330" s="150">
        <f t="shared" ca="1" si="81"/>
        <v>0</v>
      </c>
      <c r="S330" s="150">
        <f t="shared" ca="1" si="81"/>
        <v>0</v>
      </c>
      <c r="T330" s="150">
        <f t="shared" ca="1" si="81"/>
        <v>0</v>
      </c>
      <c r="U330" s="150">
        <f t="shared" ca="1" si="81"/>
        <v>0</v>
      </c>
      <c r="V330" s="150">
        <f t="shared" ca="1" si="81"/>
        <v>0</v>
      </c>
      <c r="W330" s="150">
        <f t="shared" ca="1" si="81"/>
        <v>0</v>
      </c>
      <c r="X330" s="150">
        <f t="shared" ca="1" si="81"/>
        <v>0</v>
      </c>
      <c r="Y330" s="150">
        <f t="shared" ca="1" si="81"/>
        <v>0</v>
      </c>
      <c r="Z330" s="150">
        <f t="shared" ca="1" si="81"/>
        <v>0</v>
      </c>
      <c r="AA330" s="150">
        <f t="shared" ca="1" si="81"/>
        <v>0</v>
      </c>
      <c r="AB330" s="150">
        <f t="shared" ca="1" si="81"/>
        <v>0</v>
      </c>
      <c r="AC330" s="150">
        <f t="shared" ca="1" si="81"/>
        <v>0</v>
      </c>
      <c r="AD330" s="150">
        <f t="shared" ca="1" si="81"/>
        <v>0</v>
      </c>
      <c r="AE330" s="150">
        <f t="shared" ca="1" si="81"/>
        <v>0</v>
      </c>
      <c r="AF330" s="150">
        <f t="shared" ca="1" si="81"/>
        <v>0</v>
      </c>
      <c r="AG330" s="150">
        <f t="shared" ca="1" si="81"/>
        <v>0</v>
      </c>
    </row>
    <row r="331" spans="2:33" ht="14.25" customHeight="1" outlineLevel="1" thickBot="1">
      <c r="B331" s="186"/>
      <c r="C331" s="337" t="str">
        <f>C391</f>
        <v>Principal Repayment</v>
      </c>
      <c r="D331" s="338"/>
      <c r="E331" s="338"/>
      <c r="F331" s="128"/>
      <c r="H331" s="150">
        <f>H391</f>
        <v>0</v>
      </c>
      <c r="I331" s="150">
        <f t="shared" ca="1" si="81"/>
        <v>0</v>
      </c>
      <c r="J331" s="150">
        <f t="shared" ca="1" si="81"/>
        <v>0</v>
      </c>
      <c r="K331" s="150">
        <f t="shared" ca="1" si="81"/>
        <v>0</v>
      </c>
      <c r="L331" s="150">
        <f t="shared" ca="1" si="81"/>
        <v>0</v>
      </c>
      <c r="M331" s="150">
        <f t="shared" ca="1" si="81"/>
        <v>0</v>
      </c>
      <c r="N331" s="150">
        <f t="shared" ca="1" si="81"/>
        <v>0</v>
      </c>
      <c r="O331" s="150">
        <f t="shared" ca="1" si="81"/>
        <v>0</v>
      </c>
      <c r="P331" s="150">
        <f t="shared" ca="1" si="81"/>
        <v>0</v>
      </c>
      <c r="Q331" s="150">
        <f t="shared" ca="1" si="81"/>
        <v>0</v>
      </c>
      <c r="R331" s="150">
        <f t="shared" ca="1" si="81"/>
        <v>0</v>
      </c>
      <c r="S331" s="150">
        <f t="shared" ca="1" si="81"/>
        <v>0</v>
      </c>
      <c r="T331" s="150">
        <f t="shared" ca="1" si="81"/>
        <v>0</v>
      </c>
      <c r="U331" s="150">
        <f t="shared" ca="1" si="81"/>
        <v>0</v>
      </c>
      <c r="V331" s="150">
        <f t="shared" ca="1" si="81"/>
        <v>0</v>
      </c>
      <c r="W331" s="150">
        <f t="shared" ca="1" si="81"/>
        <v>0</v>
      </c>
      <c r="X331" s="150">
        <f t="shared" ca="1" si="81"/>
        <v>0</v>
      </c>
      <c r="Y331" s="150">
        <f t="shared" ca="1" si="81"/>
        <v>0</v>
      </c>
      <c r="Z331" s="150">
        <f t="shared" ca="1" si="81"/>
        <v>0</v>
      </c>
      <c r="AA331" s="150">
        <f t="shared" ca="1" si="81"/>
        <v>0</v>
      </c>
      <c r="AB331" s="150">
        <f t="shared" ca="1" si="81"/>
        <v>0</v>
      </c>
      <c r="AC331" s="150">
        <f t="shared" ca="1" si="81"/>
        <v>0</v>
      </c>
      <c r="AD331" s="150">
        <f t="shared" ca="1" si="81"/>
        <v>0</v>
      </c>
      <c r="AE331" s="150">
        <f t="shared" ca="1" si="81"/>
        <v>0</v>
      </c>
      <c r="AF331" s="150">
        <f t="shared" ca="1" si="81"/>
        <v>0</v>
      </c>
      <c r="AG331" s="150">
        <f t="shared" ca="1" si="81"/>
        <v>0</v>
      </c>
    </row>
    <row r="332" spans="2:33" ht="14.25" customHeight="1" outlineLevel="1" thickBot="1">
      <c r="B332" s="186"/>
      <c r="C332" s="337" t="str">
        <f>C393</f>
        <v>Bridge Finance Interest Expenses</v>
      </c>
      <c r="D332" s="338"/>
      <c r="E332" s="338"/>
      <c r="F332" s="128"/>
      <c r="H332" s="151">
        <f>H393</f>
        <v>0</v>
      </c>
      <c r="I332" s="150">
        <f t="shared" ref="I332:AG332" si="82">I393</f>
        <v>0</v>
      </c>
      <c r="J332" s="150">
        <f t="shared" ca="1" si="82"/>
        <v>0</v>
      </c>
      <c r="K332" s="150">
        <f t="shared" ca="1" si="82"/>
        <v>0</v>
      </c>
      <c r="L332" s="150">
        <f t="shared" ca="1" si="82"/>
        <v>0</v>
      </c>
      <c r="M332" s="150">
        <f t="shared" ca="1" si="82"/>
        <v>0</v>
      </c>
      <c r="N332" s="150">
        <f t="shared" ca="1" si="82"/>
        <v>0</v>
      </c>
      <c r="O332" s="150">
        <f t="shared" ca="1" si="82"/>
        <v>0</v>
      </c>
      <c r="P332" s="150">
        <f t="shared" ca="1" si="82"/>
        <v>0</v>
      </c>
      <c r="Q332" s="150">
        <f t="shared" ca="1" si="82"/>
        <v>0</v>
      </c>
      <c r="R332" s="150">
        <f t="shared" ca="1" si="82"/>
        <v>0</v>
      </c>
      <c r="S332" s="150">
        <f t="shared" ca="1" si="82"/>
        <v>0</v>
      </c>
      <c r="T332" s="150">
        <f t="shared" ca="1" si="82"/>
        <v>0</v>
      </c>
      <c r="U332" s="150">
        <f t="shared" ca="1" si="82"/>
        <v>0</v>
      </c>
      <c r="V332" s="150">
        <f t="shared" ca="1" si="82"/>
        <v>0</v>
      </c>
      <c r="W332" s="150">
        <f t="shared" ca="1" si="82"/>
        <v>0</v>
      </c>
      <c r="X332" s="150">
        <f t="shared" ca="1" si="82"/>
        <v>0</v>
      </c>
      <c r="Y332" s="150">
        <f t="shared" ca="1" si="82"/>
        <v>0</v>
      </c>
      <c r="Z332" s="150">
        <f t="shared" ca="1" si="82"/>
        <v>0</v>
      </c>
      <c r="AA332" s="150">
        <f t="shared" ca="1" si="82"/>
        <v>0</v>
      </c>
      <c r="AB332" s="150">
        <f t="shared" ca="1" si="82"/>
        <v>0</v>
      </c>
      <c r="AC332" s="150">
        <f t="shared" ca="1" si="82"/>
        <v>0</v>
      </c>
      <c r="AD332" s="150">
        <f t="shared" ca="1" si="82"/>
        <v>0</v>
      </c>
      <c r="AE332" s="150">
        <f t="shared" ca="1" si="82"/>
        <v>0</v>
      </c>
      <c r="AF332" s="150">
        <f t="shared" ca="1" si="82"/>
        <v>0</v>
      </c>
      <c r="AG332" s="150">
        <f t="shared" ca="1" si="82"/>
        <v>0</v>
      </c>
    </row>
    <row r="333" spans="2:33" ht="14.25" customHeight="1" thickBot="1">
      <c r="B333" s="186"/>
      <c r="C333" s="173" t="str">
        <f>C392</f>
        <v>Loan Closing Balance</v>
      </c>
      <c r="D333" s="174"/>
      <c r="E333" s="174"/>
      <c r="F333" s="128"/>
      <c r="H333" s="156">
        <f>H392</f>
        <v>0</v>
      </c>
      <c r="I333" s="271">
        <f t="shared" ref="I333:AG333" ca="1" si="83">I392</f>
        <v>0</v>
      </c>
      <c r="J333" s="271">
        <f t="shared" ca="1" si="83"/>
        <v>0</v>
      </c>
      <c r="K333" s="271">
        <f t="shared" ca="1" si="83"/>
        <v>0</v>
      </c>
      <c r="L333" s="271">
        <f t="shared" ca="1" si="83"/>
        <v>0</v>
      </c>
      <c r="M333" s="271">
        <f t="shared" ca="1" si="83"/>
        <v>0</v>
      </c>
      <c r="N333" s="271">
        <f t="shared" ca="1" si="83"/>
        <v>0</v>
      </c>
      <c r="O333" s="271">
        <f t="shared" ca="1" si="83"/>
        <v>0</v>
      </c>
      <c r="P333" s="271">
        <f t="shared" ca="1" si="83"/>
        <v>0</v>
      </c>
      <c r="Q333" s="271">
        <f t="shared" ca="1" si="83"/>
        <v>0</v>
      </c>
      <c r="R333" s="271">
        <f t="shared" ca="1" si="83"/>
        <v>0</v>
      </c>
      <c r="S333" s="271">
        <f t="shared" ca="1" si="83"/>
        <v>0</v>
      </c>
      <c r="T333" s="271">
        <f t="shared" ca="1" si="83"/>
        <v>0</v>
      </c>
      <c r="U333" s="271">
        <f t="shared" ca="1" si="83"/>
        <v>0</v>
      </c>
      <c r="V333" s="271">
        <f t="shared" ca="1" si="83"/>
        <v>0</v>
      </c>
      <c r="W333" s="271">
        <f t="shared" ca="1" si="83"/>
        <v>0</v>
      </c>
      <c r="X333" s="271">
        <f t="shared" ca="1" si="83"/>
        <v>0</v>
      </c>
      <c r="Y333" s="271">
        <f t="shared" ca="1" si="83"/>
        <v>0</v>
      </c>
      <c r="Z333" s="271">
        <f t="shared" ca="1" si="83"/>
        <v>0</v>
      </c>
      <c r="AA333" s="271">
        <f t="shared" ca="1" si="83"/>
        <v>0</v>
      </c>
      <c r="AB333" s="271">
        <f t="shared" ca="1" si="83"/>
        <v>0</v>
      </c>
      <c r="AC333" s="271">
        <f t="shared" ca="1" si="83"/>
        <v>0</v>
      </c>
      <c r="AD333" s="271">
        <f t="shared" ca="1" si="83"/>
        <v>0</v>
      </c>
      <c r="AE333" s="271">
        <f t="shared" ca="1" si="83"/>
        <v>0</v>
      </c>
      <c r="AF333" s="271">
        <f t="shared" ca="1" si="83"/>
        <v>0</v>
      </c>
      <c r="AG333" s="271">
        <f t="shared" ca="1" si="83"/>
        <v>0</v>
      </c>
    </row>
    <row r="334" spans="2:33" ht="14.25" customHeight="1"/>
    <row r="335" spans="2:33" ht="14.25" customHeight="1" thickBot="1"/>
    <row r="336" spans="2:33" ht="30" customHeight="1" thickBot="1">
      <c r="B336" s="28"/>
      <c r="C336" s="119" t="s">
        <v>437</v>
      </c>
      <c r="D336" s="120"/>
      <c r="E336" s="626"/>
      <c r="F336" s="626"/>
      <c r="G336" s="626"/>
      <c r="H336" s="626"/>
      <c r="I336" s="120"/>
      <c r="J336" s="120"/>
      <c r="K336" s="120"/>
      <c r="L336" s="120"/>
      <c r="M336" s="120"/>
      <c r="N336" s="120"/>
      <c r="O336" s="120"/>
      <c r="P336" s="120"/>
      <c r="Q336" s="120"/>
      <c r="R336" s="120"/>
      <c r="S336" s="120"/>
      <c r="T336" s="120"/>
      <c r="U336" s="120"/>
      <c r="V336" s="120"/>
      <c r="W336" s="120"/>
      <c r="X336" s="120"/>
      <c r="Y336" s="120"/>
      <c r="Z336" s="120"/>
      <c r="AA336" s="120"/>
      <c r="AB336" s="120"/>
      <c r="AC336" s="120"/>
      <c r="AD336" s="120"/>
      <c r="AE336" s="120"/>
      <c r="AF336" s="120"/>
      <c r="AG336" s="120"/>
    </row>
    <row r="337" spans="2:99">
      <c r="F337" s="128"/>
    </row>
    <row r="338" spans="2:99" s="106" customFormat="1">
      <c r="B338" s="105"/>
      <c r="C338" s="105"/>
      <c r="D338" s="105"/>
      <c r="F338" s="619" t="s">
        <v>249</v>
      </c>
      <c r="G338" s="620"/>
      <c r="H338" s="107">
        <v>0</v>
      </c>
      <c r="I338" s="108">
        <f>IFERROR(IF((H338+1)&lt;=$D$18,H338+1,""),"")</f>
        <v>1</v>
      </c>
      <c r="J338" s="108">
        <f t="shared" ref="J338" si="84">IFERROR(IF((I338+1)&lt;=$D$18,I338+1,""),"")</f>
        <v>2</v>
      </c>
      <c r="K338" s="108">
        <f t="shared" ref="K338" si="85">IFERROR(IF((J338+1)&lt;=$D$18,J338+1,""),"")</f>
        <v>3</v>
      </c>
      <c r="L338" s="108">
        <f t="shared" ref="L338" si="86">IFERROR(IF((K338+1)&lt;=$D$18,K338+1,""),"")</f>
        <v>4</v>
      </c>
      <c r="M338" s="108">
        <f t="shared" ref="M338" si="87">IFERROR(IF((L338+1)&lt;=$D$18,L338+1,""),"")</f>
        <v>5</v>
      </c>
      <c r="N338" s="108">
        <f t="shared" ref="N338" si="88">IFERROR(IF((M338+1)&lt;=$D$18,M338+1,""),"")</f>
        <v>6</v>
      </c>
      <c r="O338" s="108">
        <f t="shared" ref="O338" si="89">IFERROR(IF((N338+1)&lt;=$D$18,N338+1,""),"")</f>
        <v>7</v>
      </c>
      <c r="P338" s="108">
        <f t="shared" ref="P338" si="90">IFERROR(IF((O338+1)&lt;=$D$18,O338+1,""),"")</f>
        <v>8</v>
      </c>
      <c r="Q338" s="108">
        <f t="shared" ref="Q338" si="91">IFERROR(IF((P338+1)&lt;=$D$18,P338+1,""),"")</f>
        <v>9</v>
      </c>
      <c r="R338" s="108">
        <f t="shared" ref="R338" si="92">IFERROR(IF((Q338+1)&lt;=$D$18,Q338+1,""),"")</f>
        <v>10</v>
      </c>
      <c r="S338" s="108">
        <f t="shared" ref="S338" si="93">IFERROR(IF((R338+1)&lt;=$D$18,R338+1,""),"")</f>
        <v>11</v>
      </c>
      <c r="T338" s="108">
        <f t="shared" ref="T338" si="94">IFERROR(IF((S338+1)&lt;=$D$18,S338+1,""),"")</f>
        <v>12</v>
      </c>
      <c r="U338" s="108">
        <f t="shared" ref="U338" si="95">IFERROR(IF((T338+1)&lt;=$D$18,T338+1,""),"")</f>
        <v>13</v>
      </c>
      <c r="V338" s="108">
        <f t="shared" ref="V338" si="96">IFERROR(IF((U338+1)&lt;=$D$18,U338+1,""),"")</f>
        <v>14</v>
      </c>
      <c r="W338" s="108">
        <f t="shared" ref="W338" si="97">IFERROR(IF((V338+1)&lt;=$D$18,V338+1,""),"")</f>
        <v>15</v>
      </c>
      <c r="X338" s="108">
        <f t="shared" ref="X338" si="98">IFERROR(IF((W338+1)&lt;=$D$18,W338+1,""),"")</f>
        <v>16</v>
      </c>
      <c r="Y338" s="108">
        <f t="shared" ref="Y338" si="99">IFERROR(IF((X338+1)&lt;=$D$18,X338+1,""),"")</f>
        <v>17</v>
      </c>
      <c r="Z338" s="108">
        <f t="shared" ref="Z338" si="100">IFERROR(IF((Y338+1)&lt;=$D$18,Y338+1,""),"")</f>
        <v>18</v>
      </c>
      <c r="AA338" s="108">
        <f t="shared" ref="AA338" si="101">IFERROR(IF((Z338+1)&lt;=$D$18,Z338+1,""),"")</f>
        <v>19</v>
      </c>
      <c r="AB338" s="108">
        <f t="shared" ref="AB338" si="102">IFERROR(IF((AA338+1)&lt;=$D$18,AA338+1,""),"")</f>
        <v>20</v>
      </c>
      <c r="AC338" s="108">
        <f t="shared" ref="AC338" si="103">IFERROR(IF((AB338+1)&lt;=$D$18,AB338+1,""),"")</f>
        <v>21</v>
      </c>
      <c r="AD338" s="108">
        <f t="shared" ref="AD338" si="104">IFERROR(IF((AC338+1)&lt;=$D$18,AC338+1,""),"")</f>
        <v>22</v>
      </c>
      <c r="AE338" s="108">
        <f t="shared" ref="AE338" si="105">IFERROR(IF((AD338+1)&lt;=$D$18,AD338+1,""),"")</f>
        <v>23</v>
      </c>
      <c r="AF338" s="108">
        <f t="shared" ref="AF338" si="106">IFERROR(IF((AE338+1)&lt;=$D$18,AE338+1,""),"")</f>
        <v>24</v>
      </c>
      <c r="AG338" s="108">
        <f t="shared" ref="AG338" si="107">IFERROR(IF((AF338+1)&lt;=$D$18,AF338+1,""),"")</f>
        <v>25</v>
      </c>
    </row>
    <row r="339" spans="2:99" s="106" customFormat="1">
      <c r="B339" s="105"/>
      <c r="C339" s="105"/>
      <c r="D339" s="105"/>
      <c r="F339" s="623" t="str">
        <f>F2</f>
        <v>Calendar Year</v>
      </c>
      <c r="G339" s="624"/>
      <c r="H339" s="109">
        <f t="shared" ref="H339:AG339" si="108">H2</f>
        <v>2025</v>
      </c>
      <c r="I339" s="109">
        <f t="shared" si="108"/>
        <v>2026</v>
      </c>
      <c r="J339" s="109">
        <f t="shared" si="108"/>
        <v>2027</v>
      </c>
      <c r="K339" s="109">
        <f t="shared" si="108"/>
        <v>2028</v>
      </c>
      <c r="L339" s="109">
        <f t="shared" si="108"/>
        <v>2029</v>
      </c>
      <c r="M339" s="109">
        <f t="shared" si="108"/>
        <v>2030</v>
      </c>
      <c r="N339" s="109">
        <f t="shared" si="108"/>
        <v>2031</v>
      </c>
      <c r="O339" s="109">
        <f t="shared" si="108"/>
        <v>2032</v>
      </c>
      <c r="P339" s="109">
        <f t="shared" si="108"/>
        <v>2033</v>
      </c>
      <c r="Q339" s="109">
        <f t="shared" si="108"/>
        <v>2034</v>
      </c>
      <c r="R339" s="109">
        <f t="shared" si="108"/>
        <v>2035</v>
      </c>
      <c r="S339" s="109">
        <f t="shared" si="108"/>
        <v>2036</v>
      </c>
      <c r="T339" s="109">
        <f t="shared" si="108"/>
        <v>2037</v>
      </c>
      <c r="U339" s="109">
        <f t="shared" si="108"/>
        <v>2038</v>
      </c>
      <c r="V339" s="109">
        <f t="shared" si="108"/>
        <v>2039</v>
      </c>
      <c r="W339" s="109">
        <f t="shared" si="108"/>
        <v>2040</v>
      </c>
      <c r="X339" s="109">
        <f t="shared" si="108"/>
        <v>2041</v>
      </c>
      <c r="Y339" s="109">
        <f t="shared" si="108"/>
        <v>2042</v>
      </c>
      <c r="Z339" s="109">
        <f t="shared" si="108"/>
        <v>2043</v>
      </c>
      <c r="AA339" s="109">
        <f t="shared" si="108"/>
        <v>2044</v>
      </c>
      <c r="AB339" s="109">
        <f t="shared" si="108"/>
        <v>2045</v>
      </c>
      <c r="AC339" s="109">
        <f t="shared" si="108"/>
        <v>2046</v>
      </c>
      <c r="AD339" s="109">
        <f t="shared" si="108"/>
        <v>2047</v>
      </c>
      <c r="AE339" s="109">
        <f t="shared" si="108"/>
        <v>2048</v>
      </c>
      <c r="AF339" s="109">
        <f t="shared" si="108"/>
        <v>2049</v>
      </c>
      <c r="AG339" s="109">
        <f t="shared" si="108"/>
        <v>2050</v>
      </c>
    </row>
    <row r="340" spans="2:99">
      <c r="E340" s="111"/>
      <c r="F340" s="111"/>
      <c r="G340" s="111"/>
      <c r="H340" s="114"/>
      <c r="I340" s="114"/>
      <c r="J340" s="114"/>
      <c r="K340" s="114"/>
      <c r="L340" s="114"/>
      <c r="M340" s="114"/>
      <c r="N340" s="114"/>
      <c r="O340" s="114"/>
      <c r="P340" s="114"/>
      <c r="Q340" s="114"/>
      <c r="R340" s="114"/>
      <c r="S340" s="114"/>
      <c r="T340" s="114"/>
      <c r="U340" s="114"/>
      <c r="V340" s="114"/>
      <c r="W340" s="114"/>
      <c r="X340" s="114"/>
      <c r="Y340" s="114"/>
      <c r="Z340" s="114"/>
      <c r="AA340" s="114"/>
      <c r="AB340" s="114"/>
      <c r="AC340" s="114"/>
      <c r="AD340" s="114"/>
      <c r="AE340" s="114"/>
      <c r="AF340" s="114"/>
      <c r="AG340" s="114"/>
    </row>
    <row r="341" spans="2:99" ht="23">
      <c r="B341" s="129"/>
      <c r="C341" s="142" t="s">
        <v>438</v>
      </c>
      <c r="D341" s="129"/>
      <c r="E341" s="142"/>
      <c r="F341" s="143"/>
      <c r="G341" s="143"/>
      <c r="H341" s="144"/>
      <c r="I341" s="144"/>
      <c r="J341" s="144"/>
      <c r="K341" s="145"/>
      <c r="L341" s="145"/>
      <c r="M341" s="145"/>
      <c r="N341" s="145"/>
      <c r="O341" s="145"/>
      <c r="P341" s="145"/>
      <c r="Q341" s="145"/>
      <c r="R341" s="145"/>
      <c r="S341" s="145"/>
      <c r="T341" s="145"/>
      <c r="U341" s="145"/>
      <c r="V341" s="145"/>
      <c r="W341" s="145"/>
      <c r="X341" s="145">
        <f>$X$1</f>
        <v>16</v>
      </c>
      <c r="Y341" s="145">
        <f>$Y$1</f>
        <v>17</v>
      </c>
      <c r="Z341" s="145">
        <f>$Z$1</f>
        <v>18</v>
      </c>
      <c r="AA341" s="145">
        <f>$AA$1</f>
        <v>19</v>
      </c>
      <c r="AB341" s="145">
        <f>$AB$1</f>
        <v>20</v>
      </c>
      <c r="AC341" s="145">
        <f>$AC$1</f>
        <v>21</v>
      </c>
      <c r="AD341" s="145">
        <f>$AD$1</f>
        <v>22</v>
      </c>
      <c r="AE341" s="145">
        <f>$AE$1</f>
        <v>23</v>
      </c>
      <c r="AF341" s="145">
        <f>$AF$1</f>
        <v>24</v>
      </c>
      <c r="AG341" s="145">
        <f>$AG$1</f>
        <v>25</v>
      </c>
    </row>
    <row r="342" spans="2:99" ht="14.5" outlineLevel="1" thickBot="1"/>
    <row r="343" spans="2:99" ht="14.5" outlineLevel="1" thickBot="1">
      <c r="B343" s="132"/>
      <c r="C343" s="132" t="s">
        <v>439</v>
      </c>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c r="AD343" s="133"/>
      <c r="AE343" s="133"/>
      <c r="AF343" s="133"/>
      <c r="AG343" s="147"/>
      <c r="AH343" s="128"/>
      <c r="AI343" s="128"/>
      <c r="AJ343" s="128"/>
      <c r="AK343" s="128"/>
      <c r="AL343" s="128"/>
      <c r="AM343" s="128"/>
      <c r="AN343" s="128"/>
      <c r="AO343" s="128"/>
      <c r="AP343" s="128"/>
      <c r="AQ343" s="128"/>
      <c r="AR343" s="128"/>
      <c r="AS343" s="128"/>
      <c r="AT343" s="128"/>
      <c r="AU343" s="128"/>
      <c r="AV343" s="128"/>
      <c r="AW343" s="128"/>
      <c r="AX343" s="128"/>
      <c r="AY343" s="128"/>
      <c r="AZ343" s="128"/>
      <c r="BA343" s="128"/>
      <c r="BB343" s="128"/>
      <c r="BC343" s="128"/>
      <c r="BD343" s="128"/>
      <c r="BE343" s="128"/>
      <c r="BF343" s="128"/>
      <c r="BG343" s="128"/>
      <c r="BH343" s="128"/>
      <c r="BI343" s="128"/>
      <c r="BJ343" s="128"/>
      <c r="BK343" s="128"/>
      <c r="BL343" s="128"/>
      <c r="BM343" s="128"/>
      <c r="BN343" s="128"/>
      <c r="BO343" s="128"/>
      <c r="BP343" s="128"/>
      <c r="BQ343" s="128"/>
      <c r="BR343" s="128"/>
      <c r="BS343" s="128"/>
      <c r="BT343" s="128"/>
      <c r="BU343" s="128"/>
      <c r="BV343" s="128"/>
      <c r="BW343" s="128"/>
      <c r="BX343" s="128"/>
      <c r="BY343" s="128"/>
      <c r="BZ343" s="128"/>
      <c r="CA343" s="128"/>
      <c r="CB343" s="128"/>
      <c r="CC343" s="128"/>
      <c r="CD343" s="128"/>
      <c r="CE343" s="128"/>
      <c r="CF343" s="128"/>
      <c r="CG343" s="128"/>
      <c r="CH343" s="128"/>
      <c r="CI343" s="128"/>
      <c r="CJ343" s="128"/>
      <c r="CK343" s="128"/>
      <c r="CL343" s="128"/>
      <c r="CM343" s="128"/>
      <c r="CN343" s="128"/>
      <c r="CO343" s="128"/>
      <c r="CP343" s="128"/>
      <c r="CQ343" s="128"/>
      <c r="CR343" s="128"/>
      <c r="CS343" s="128"/>
      <c r="CT343" s="128"/>
      <c r="CU343" s="128"/>
    </row>
    <row r="344" spans="2:99" ht="14.5" outlineLevel="1" thickBot="1">
      <c r="B344" s="186"/>
      <c r="C344" s="187" t="s">
        <v>440</v>
      </c>
      <c r="D344" s="205"/>
      <c r="E344" s="205"/>
      <c r="F344" s="339"/>
      <c r="G344" s="339"/>
      <c r="H344" s="339"/>
      <c r="I344" s="150">
        <f t="shared" ref="I344:AG344" si="109">I224</f>
        <v>8184.160653539062</v>
      </c>
      <c r="J344" s="150">
        <f t="shared" si="109"/>
        <v>8135.0556896178277</v>
      </c>
      <c r="K344" s="150">
        <f t="shared" si="109"/>
        <v>8086.2453554801205</v>
      </c>
      <c r="L344" s="150">
        <f t="shared" si="109"/>
        <v>8037.7278833472401</v>
      </c>
      <c r="M344" s="150">
        <f t="shared" si="109"/>
        <v>7989.5015160471567</v>
      </c>
      <c r="N344" s="150">
        <f t="shared" si="109"/>
        <v>7941.5645069508737</v>
      </c>
      <c r="O344" s="150">
        <f t="shared" si="109"/>
        <v>7893.9151199091684</v>
      </c>
      <c r="P344" s="150">
        <f t="shared" si="109"/>
        <v>7846.5516291897138</v>
      </c>
      <c r="Q344" s="150">
        <f t="shared" si="109"/>
        <v>7799.4723194145754</v>
      </c>
      <c r="R344" s="150">
        <f t="shared" si="109"/>
        <v>7752.6754854980882</v>
      </c>
      <c r="S344" s="150">
        <f t="shared" si="109"/>
        <v>7706.1594325850992</v>
      </c>
      <c r="T344" s="150">
        <f t="shared" si="109"/>
        <v>7659.9224759895887</v>
      </c>
      <c r="U344" s="150">
        <f t="shared" si="109"/>
        <v>7613.9629411336509</v>
      </c>
      <c r="V344" s="150">
        <f t="shared" si="109"/>
        <v>7568.279163486849</v>
      </c>
      <c r="W344" s="150">
        <f t="shared" si="109"/>
        <v>7522.8694885059276</v>
      </c>
      <c r="X344" s="150">
        <f t="shared" si="109"/>
        <v>7477.7322715748924</v>
      </c>
      <c r="Y344" s="150">
        <f t="shared" si="109"/>
        <v>7432.8658779454427</v>
      </c>
      <c r="Z344" s="150">
        <f t="shared" si="109"/>
        <v>7388.2686826777699</v>
      </c>
      <c r="AA344" s="150">
        <f t="shared" si="109"/>
        <v>7343.9390705817032</v>
      </c>
      <c r="AB344" s="150">
        <f t="shared" si="109"/>
        <v>7299.8754361582132</v>
      </c>
      <c r="AC344" s="150">
        <f t="shared" si="109"/>
        <v>7256.0761835412641</v>
      </c>
      <c r="AD344" s="150">
        <f t="shared" si="109"/>
        <v>7212.5397264400162</v>
      </c>
      <c r="AE344" s="150">
        <f t="shared" si="109"/>
        <v>7169.2644880813759</v>
      </c>
      <c r="AF344" s="150">
        <f t="shared" si="109"/>
        <v>7126.2489011528878</v>
      </c>
      <c r="AG344" s="150">
        <f t="shared" si="109"/>
        <v>7083.4914077459707</v>
      </c>
      <c r="AH344" s="128"/>
      <c r="AI344" s="128"/>
      <c r="AJ344" s="128"/>
      <c r="AK344" s="128"/>
      <c r="AL344" s="128"/>
      <c r="AM344" s="128"/>
      <c r="AN344" s="128"/>
      <c r="AO344" s="128"/>
      <c r="AP344" s="128"/>
      <c r="AQ344" s="128"/>
      <c r="AR344" s="128"/>
      <c r="AS344" s="128"/>
      <c r="AT344" s="128"/>
      <c r="AU344" s="128"/>
      <c r="AV344" s="128"/>
      <c r="AW344" s="128"/>
      <c r="AX344" s="128"/>
      <c r="AY344" s="128"/>
      <c r="AZ344" s="128"/>
      <c r="BA344" s="128"/>
      <c r="BB344" s="128"/>
      <c r="BC344" s="128"/>
      <c r="BD344" s="128"/>
      <c r="BE344" s="128"/>
      <c r="BF344" s="128"/>
      <c r="BG344" s="128"/>
      <c r="BH344" s="128"/>
      <c r="BI344" s="128"/>
      <c r="BJ344" s="128"/>
      <c r="BK344" s="128"/>
      <c r="BL344" s="128"/>
      <c r="BM344" s="128"/>
      <c r="BN344" s="128"/>
      <c r="BO344" s="128"/>
      <c r="BP344" s="128"/>
      <c r="BQ344" s="128"/>
      <c r="BR344" s="128"/>
      <c r="BS344" s="128"/>
      <c r="BT344" s="128"/>
      <c r="BU344" s="128"/>
      <c r="BV344" s="128"/>
      <c r="BW344" s="128"/>
      <c r="BX344" s="128"/>
      <c r="BY344" s="128"/>
      <c r="BZ344" s="128"/>
      <c r="CA344" s="128"/>
      <c r="CB344" s="128"/>
      <c r="CC344" s="128"/>
      <c r="CD344" s="128"/>
      <c r="CE344" s="128"/>
      <c r="CF344" s="128"/>
      <c r="CG344" s="128"/>
      <c r="CH344" s="128"/>
      <c r="CI344" s="128"/>
      <c r="CJ344" s="128"/>
      <c r="CK344" s="128"/>
      <c r="CL344" s="128"/>
      <c r="CM344" s="128"/>
      <c r="CN344" s="128"/>
      <c r="CO344" s="128"/>
      <c r="CP344" s="128"/>
      <c r="CQ344" s="128"/>
      <c r="CR344" s="128"/>
      <c r="CS344" s="128"/>
      <c r="CT344" s="128"/>
      <c r="CU344" s="128"/>
    </row>
    <row r="345" spans="2:99" ht="14.5" outlineLevel="1" thickBot="1">
      <c r="B345" s="186"/>
      <c r="C345" s="187" t="s">
        <v>441</v>
      </c>
      <c r="D345" s="205"/>
      <c r="E345" s="205"/>
      <c r="F345" s="339"/>
      <c r="G345" s="339"/>
      <c r="H345" s="339"/>
      <c r="I345" s="150">
        <f t="shared" ref="I345:AG345" si="110">I228</f>
        <v>624.63671943749978</v>
      </c>
      <c r="J345" s="150">
        <f t="shared" si="110"/>
        <v>620.88889912087473</v>
      </c>
      <c r="K345" s="150">
        <f t="shared" si="110"/>
        <v>617.1635657261495</v>
      </c>
      <c r="L345" s="150">
        <f t="shared" si="110"/>
        <v>613.46058433179257</v>
      </c>
      <c r="M345" s="150">
        <f t="shared" si="110"/>
        <v>609.77982082580183</v>
      </c>
      <c r="N345" s="150">
        <f t="shared" si="110"/>
        <v>606.12114190084696</v>
      </c>
      <c r="O345" s="150">
        <f t="shared" si="110"/>
        <v>602.48441504944185</v>
      </c>
      <c r="P345" s="150">
        <f t="shared" si="110"/>
        <v>598.86950855914517</v>
      </c>
      <c r="Q345" s="150">
        <f t="shared" si="110"/>
        <v>595.27629150779035</v>
      </c>
      <c r="R345" s="150">
        <f t="shared" si="110"/>
        <v>591.70463375874363</v>
      </c>
      <c r="S345" s="150">
        <f t="shared" si="110"/>
        <v>588.15440595619111</v>
      </c>
      <c r="T345" s="150">
        <f t="shared" si="110"/>
        <v>584.62547952045395</v>
      </c>
      <c r="U345" s="150">
        <f t="shared" si="110"/>
        <v>581.11772664333125</v>
      </c>
      <c r="V345" s="150">
        <f t="shared" si="110"/>
        <v>577.63102028347123</v>
      </c>
      <c r="W345" s="150">
        <f t="shared" si="110"/>
        <v>574.1652341617704</v>
      </c>
      <c r="X345" s="150">
        <f t="shared" si="110"/>
        <v>570.72024275679973</v>
      </c>
      <c r="Y345" s="150">
        <f t="shared" si="110"/>
        <v>567.2959213002589</v>
      </c>
      <c r="Z345" s="150">
        <f t="shared" si="110"/>
        <v>563.8921457724573</v>
      </c>
      <c r="AA345" s="150">
        <f t="shared" si="110"/>
        <v>560.50879289782256</v>
      </c>
      <c r="AB345" s="150">
        <f t="shared" si="110"/>
        <v>557.14574014043558</v>
      </c>
      <c r="AC345" s="150">
        <f t="shared" si="110"/>
        <v>553.80286569959299</v>
      </c>
      <c r="AD345" s="150">
        <f t="shared" si="110"/>
        <v>550.48004850539542</v>
      </c>
      <c r="AE345" s="150">
        <f t="shared" si="110"/>
        <v>547.17716821436306</v>
      </c>
      <c r="AF345" s="150">
        <f t="shared" si="110"/>
        <v>543.89410520507693</v>
      </c>
      <c r="AG345" s="150">
        <f t="shared" si="110"/>
        <v>540.63074057384642</v>
      </c>
      <c r="AH345" s="128"/>
      <c r="AI345" s="128"/>
      <c r="AJ345" s="128"/>
      <c r="AK345" s="128"/>
      <c r="AL345" s="128"/>
      <c r="AM345" s="128"/>
      <c r="AN345" s="128"/>
      <c r="AO345" s="128"/>
      <c r="AP345" s="128"/>
      <c r="AQ345" s="128"/>
      <c r="AR345" s="128"/>
      <c r="AS345" s="128"/>
      <c r="AT345" s="128"/>
      <c r="AU345" s="128"/>
      <c r="AV345" s="128"/>
      <c r="AW345" s="128"/>
      <c r="AX345" s="128"/>
      <c r="AY345" s="128"/>
      <c r="AZ345" s="128"/>
      <c r="BA345" s="128"/>
      <c r="BB345" s="128"/>
      <c r="BC345" s="128"/>
      <c r="BD345" s="128"/>
      <c r="BE345" s="128"/>
      <c r="BF345" s="128"/>
      <c r="BG345" s="128"/>
      <c r="BH345" s="128"/>
      <c r="BI345" s="128"/>
      <c r="BJ345" s="128"/>
      <c r="BK345" s="128"/>
      <c r="BL345" s="128"/>
      <c r="BM345" s="128"/>
      <c r="BN345" s="128"/>
      <c r="BO345" s="128"/>
      <c r="BP345" s="128"/>
      <c r="BQ345" s="128"/>
      <c r="BR345" s="128"/>
      <c r="BS345" s="128"/>
      <c r="BT345" s="128"/>
      <c r="BU345" s="128"/>
      <c r="BV345" s="128"/>
      <c r="BW345" s="128"/>
      <c r="BX345" s="128"/>
      <c r="BY345" s="128"/>
      <c r="BZ345" s="128"/>
      <c r="CA345" s="128"/>
      <c r="CB345" s="128"/>
      <c r="CC345" s="128"/>
      <c r="CD345" s="128"/>
      <c r="CE345" s="128"/>
      <c r="CF345" s="128"/>
      <c r="CG345" s="128"/>
      <c r="CH345" s="128"/>
      <c r="CI345" s="128"/>
      <c r="CJ345" s="128"/>
      <c r="CK345" s="128"/>
      <c r="CL345" s="128"/>
      <c r="CM345" s="128"/>
      <c r="CN345" s="128"/>
      <c r="CO345" s="128"/>
      <c r="CP345" s="128"/>
      <c r="CQ345" s="128"/>
      <c r="CR345" s="128"/>
      <c r="CS345" s="128"/>
      <c r="CT345" s="128"/>
      <c r="CU345" s="128"/>
    </row>
    <row r="346" spans="2:99" ht="14.5" outlineLevel="1" thickBot="1">
      <c r="B346" s="186"/>
      <c r="C346" s="173" t="s">
        <v>442</v>
      </c>
      <c r="D346" s="174"/>
      <c r="E346" s="174"/>
      <c r="F346" s="175"/>
      <c r="G346" s="175"/>
      <c r="H346" s="175"/>
      <c r="I346" s="271">
        <f t="shared" ref="I346:AG346" si="111">SUM(I344:I345)</f>
        <v>8808.7973729765617</v>
      </c>
      <c r="J346" s="271">
        <f t="shared" si="111"/>
        <v>8755.9445887387028</v>
      </c>
      <c r="K346" s="271">
        <f t="shared" si="111"/>
        <v>8703.40892120627</v>
      </c>
      <c r="L346" s="271">
        <f t="shared" si="111"/>
        <v>8651.1884676790323</v>
      </c>
      <c r="M346" s="271">
        <f t="shared" si="111"/>
        <v>8599.2813368729585</v>
      </c>
      <c r="N346" s="271">
        <f t="shared" si="111"/>
        <v>8547.6856488517205</v>
      </c>
      <c r="O346" s="271">
        <f t="shared" si="111"/>
        <v>8496.3995349586112</v>
      </c>
      <c r="P346" s="271">
        <f t="shared" si="111"/>
        <v>8445.4211377488591</v>
      </c>
      <c r="Q346" s="271">
        <f t="shared" si="111"/>
        <v>8394.7486109223664</v>
      </c>
      <c r="R346" s="271">
        <f t="shared" si="111"/>
        <v>8344.3801192568317</v>
      </c>
      <c r="S346" s="271">
        <f t="shared" si="111"/>
        <v>8294.3138385412894</v>
      </c>
      <c r="T346" s="271">
        <f t="shared" si="111"/>
        <v>8244.5479555100428</v>
      </c>
      <c r="U346" s="271">
        <f t="shared" si="111"/>
        <v>8195.0806677769815</v>
      </c>
      <c r="V346" s="271">
        <f t="shared" si="111"/>
        <v>8145.9101837703201</v>
      </c>
      <c r="W346" s="271">
        <f t="shared" si="111"/>
        <v>8097.0347226676977</v>
      </c>
      <c r="X346" s="271">
        <f t="shared" si="111"/>
        <v>8048.4525143316923</v>
      </c>
      <c r="Y346" s="271">
        <f t="shared" si="111"/>
        <v>8000.1617992457013</v>
      </c>
      <c r="Z346" s="271">
        <f t="shared" si="111"/>
        <v>7952.1608284502272</v>
      </c>
      <c r="AA346" s="271">
        <f t="shared" si="111"/>
        <v>7904.4478634795259</v>
      </c>
      <c r="AB346" s="271">
        <f t="shared" si="111"/>
        <v>7857.0211762986492</v>
      </c>
      <c r="AC346" s="271">
        <f t="shared" si="111"/>
        <v>7809.8790492408571</v>
      </c>
      <c r="AD346" s="271">
        <f t="shared" si="111"/>
        <v>7763.0197749454119</v>
      </c>
      <c r="AE346" s="271">
        <f t="shared" si="111"/>
        <v>7716.4416562957394</v>
      </c>
      <c r="AF346" s="271">
        <f t="shared" si="111"/>
        <v>7670.1430063579646</v>
      </c>
      <c r="AG346" s="271">
        <f t="shared" si="111"/>
        <v>7624.1221483198169</v>
      </c>
      <c r="AH346" s="128"/>
      <c r="AI346" s="128"/>
      <c r="AJ346" s="128"/>
      <c r="AK346" s="128"/>
      <c r="AL346" s="128"/>
      <c r="AM346" s="128"/>
      <c r="AN346" s="128"/>
      <c r="AO346" s="128"/>
      <c r="AP346" s="128"/>
      <c r="AQ346" s="128"/>
      <c r="AR346" s="128"/>
      <c r="AS346" s="128"/>
      <c r="AT346" s="128"/>
      <c r="AU346" s="128"/>
      <c r="AV346" s="128"/>
      <c r="AW346" s="128"/>
      <c r="AX346" s="128"/>
      <c r="AY346" s="128"/>
      <c r="AZ346" s="128"/>
      <c r="BA346" s="128"/>
      <c r="BB346" s="128"/>
      <c r="BC346" s="128"/>
      <c r="BD346" s="128"/>
      <c r="BE346" s="128"/>
      <c r="BF346" s="128"/>
      <c r="BG346" s="128"/>
      <c r="BH346" s="128"/>
      <c r="BI346" s="128"/>
      <c r="BJ346" s="128"/>
      <c r="BK346" s="128"/>
      <c r="BL346" s="128"/>
      <c r="BM346" s="128"/>
      <c r="BN346" s="128"/>
      <c r="BO346" s="128"/>
      <c r="BP346" s="128"/>
      <c r="BQ346" s="128"/>
      <c r="BR346" s="128"/>
      <c r="BS346" s="128"/>
      <c r="BT346" s="128"/>
      <c r="BU346" s="128"/>
      <c r="BV346" s="128"/>
      <c r="BW346" s="128"/>
      <c r="BX346" s="128"/>
      <c r="BY346" s="128"/>
      <c r="BZ346" s="128"/>
      <c r="CA346" s="128"/>
      <c r="CB346" s="128"/>
      <c r="CC346" s="128"/>
      <c r="CD346" s="128"/>
      <c r="CE346" s="128"/>
      <c r="CF346" s="128"/>
      <c r="CG346" s="128"/>
      <c r="CH346" s="128"/>
      <c r="CI346" s="128"/>
      <c r="CJ346" s="128"/>
      <c r="CK346" s="128"/>
      <c r="CL346" s="128"/>
      <c r="CM346" s="128"/>
      <c r="CN346" s="128"/>
      <c r="CO346" s="128"/>
      <c r="CP346" s="128"/>
      <c r="CQ346" s="128"/>
      <c r="CR346" s="128"/>
      <c r="CS346" s="128"/>
      <c r="CT346" s="128"/>
      <c r="CU346" s="128"/>
    </row>
    <row r="347" spans="2:99" ht="14.5" outlineLevel="1" thickBot="1">
      <c r="F347" s="128"/>
      <c r="G347" s="128"/>
      <c r="H347" s="128"/>
      <c r="I347" s="340"/>
      <c r="J347" s="340"/>
      <c r="K347" s="340"/>
      <c r="L347" s="340"/>
      <c r="M347" s="340"/>
      <c r="N347" s="340"/>
      <c r="O347" s="340"/>
      <c r="P347" s="340"/>
      <c r="Q347" s="340"/>
      <c r="R347" s="340"/>
      <c r="S347" s="340"/>
      <c r="T347" s="340"/>
      <c r="U347" s="340"/>
      <c r="V347" s="340"/>
      <c r="W347" s="340"/>
      <c r="X347" s="340"/>
      <c r="Y347" s="340"/>
      <c r="Z347" s="340"/>
      <c r="AA347" s="340"/>
      <c r="AB347" s="340"/>
      <c r="AC347" s="340"/>
      <c r="AD347" s="340"/>
      <c r="AE347" s="340"/>
      <c r="AF347" s="340"/>
      <c r="AG347" s="340"/>
      <c r="AH347" s="128"/>
      <c r="AI347" s="128"/>
      <c r="AJ347" s="128"/>
      <c r="AK347" s="128"/>
      <c r="AL347" s="128"/>
      <c r="AM347" s="128"/>
      <c r="AN347" s="128"/>
      <c r="AO347" s="128"/>
      <c r="AP347" s="128"/>
      <c r="AQ347" s="128"/>
      <c r="AR347" s="128"/>
      <c r="AS347" s="128"/>
      <c r="AT347" s="128"/>
      <c r="AU347" s="128"/>
      <c r="AV347" s="128"/>
      <c r="AW347" s="128"/>
      <c r="AX347" s="128"/>
      <c r="AY347" s="128"/>
      <c r="AZ347" s="128"/>
      <c r="BA347" s="128"/>
      <c r="BB347" s="128"/>
      <c r="BC347" s="128"/>
      <c r="BD347" s="128"/>
      <c r="BE347" s="128"/>
      <c r="BF347" s="128"/>
      <c r="BG347" s="128"/>
      <c r="BH347" s="128"/>
      <c r="BI347" s="128"/>
      <c r="BJ347" s="128"/>
      <c r="BK347" s="128"/>
      <c r="BL347" s="128"/>
      <c r="BM347" s="128"/>
      <c r="BN347" s="128"/>
      <c r="BO347" s="128"/>
      <c r="BP347" s="128"/>
      <c r="BQ347" s="128"/>
      <c r="BR347" s="128"/>
      <c r="BS347" s="128"/>
      <c r="BT347" s="128"/>
      <c r="BU347" s="128"/>
      <c r="BV347" s="128"/>
      <c r="BW347" s="128"/>
      <c r="BX347" s="128"/>
      <c r="BY347" s="128"/>
      <c r="BZ347" s="128"/>
      <c r="CA347" s="128"/>
      <c r="CB347" s="128"/>
      <c r="CC347" s="128"/>
      <c r="CD347" s="128"/>
      <c r="CE347" s="128"/>
      <c r="CF347" s="128"/>
      <c r="CG347" s="128"/>
      <c r="CH347" s="128"/>
      <c r="CI347" s="128"/>
      <c r="CJ347" s="128"/>
      <c r="CK347" s="128"/>
      <c r="CL347" s="128"/>
      <c r="CM347" s="128"/>
      <c r="CN347" s="128"/>
      <c r="CO347" s="128"/>
      <c r="CP347" s="128"/>
      <c r="CQ347" s="128"/>
      <c r="CR347" s="128"/>
      <c r="CS347" s="128"/>
      <c r="CT347" s="128"/>
      <c r="CU347" s="128"/>
    </row>
    <row r="348" spans="2:99" ht="14.5" outlineLevel="1" thickBot="1">
      <c r="B348" s="132"/>
      <c r="C348" s="132" t="s">
        <v>443</v>
      </c>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c r="AD348" s="133"/>
      <c r="AE348" s="133"/>
      <c r="AF348" s="133"/>
      <c r="AG348" s="147"/>
      <c r="AH348" s="128"/>
      <c r="AI348" s="128"/>
      <c r="AJ348" s="128"/>
      <c r="AK348" s="128"/>
      <c r="AL348" s="128"/>
      <c r="AM348" s="128"/>
      <c r="AN348" s="128"/>
      <c r="AO348" s="128"/>
      <c r="AP348" s="128"/>
      <c r="AQ348" s="128"/>
      <c r="AR348" s="128"/>
      <c r="AS348" s="128"/>
      <c r="AT348" s="128"/>
      <c r="AU348" s="128"/>
      <c r="AV348" s="128"/>
      <c r="AW348" s="128"/>
      <c r="AX348" s="128"/>
      <c r="AY348" s="128"/>
      <c r="AZ348" s="128"/>
      <c r="BA348" s="128"/>
      <c r="BB348" s="128"/>
      <c r="BC348" s="128"/>
      <c r="BD348" s="128"/>
      <c r="BE348" s="128"/>
      <c r="BF348" s="128"/>
      <c r="BG348" s="128"/>
      <c r="BH348" s="128"/>
      <c r="BI348" s="128"/>
      <c r="BJ348" s="128"/>
      <c r="BK348" s="128"/>
      <c r="BL348" s="128"/>
      <c r="BM348" s="128"/>
      <c r="BN348" s="128"/>
      <c r="BO348" s="128"/>
      <c r="BP348" s="128"/>
      <c r="BQ348" s="128"/>
      <c r="BR348" s="128"/>
      <c r="BS348" s="128"/>
      <c r="BT348" s="128"/>
      <c r="BU348" s="128"/>
      <c r="BV348" s="128"/>
      <c r="BW348" s="128"/>
      <c r="BX348" s="128"/>
      <c r="BY348" s="128"/>
      <c r="BZ348" s="128"/>
      <c r="CA348" s="128"/>
      <c r="CB348" s="128"/>
      <c r="CC348" s="128"/>
      <c r="CD348" s="128"/>
      <c r="CE348" s="128"/>
      <c r="CF348" s="128"/>
      <c r="CG348" s="128"/>
      <c r="CH348" s="128"/>
      <c r="CI348" s="128"/>
      <c r="CJ348" s="128"/>
      <c r="CK348" s="128"/>
      <c r="CL348" s="128"/>
      <c r="CM348" s="128"/>
      <c r="CN348" s="128"/>
      <c r="CO348" s="128"/>
      <c r="CP348" s="128"/>
      <c r="CQ348" s="128"/>
      <c r="CR348" s="128"/>
      <c r="CS348" s="128"/>
      <c r="CT348" s="128"/>
      <c r="CU348" s="128"/>
    </row>
    <row r="349" spans="2:99" ht="14.5" outlineLevel="1" thickBot="1">
      <c r="B349" s="186"/>
      <c r="C349" s="187" t="s">
        <v>444</v>
      </c>
      <c r="D349" s="205"/>
      <c r="E349" s="205"/>
      <c r="F349" s="339"/>
      <c r="G349" s="339"/>
      <c r="H349" s="339"/>
      <c r="I349" s="150">
        <f t="shared" ref="I349:AG349" si="112">I199</f>
        <v>1.0000000000000001E-7</v>
      </c>
      <c r="J349" s="150">
        <f t="shared" si="112"/>
        <v>1.0230000000000001E-7</v>
      </c>
      <c r="K349" s="150">
        <f t="shared" si="112"/>
        <v>1.0281149999999999E-7</v>
      </c>
      <c r="L349" s="150">
        <f t="shared" si="112"/>
        <v>1.00960893E-7</v>
      </c>
      <c r="M349" s="150">
        <f t="shared" si="112"/>
        <v>1.00960893E-7</v>
      </c>
      <c r="N349" s="150">
        <f t="shared" si="112"/>
        <v>1.00960893E-7</v>
      </c>
      <c r="O349" s="150">
        <f t="shared" si="112"/>
        <v>1.0197050193000001E-7</v>
      </c>
      <c r="P349" s="150">
        <f t="shared" si="112"/>
        <v>1.0248035443964999E-7</v>
      </c>
      <c r="Q349" s="150">
        <f t="shared" si="112"/>
        <v>1.0248035443964999E-7</v>
      </c>
      <c r="R349" s="150">
        <f t="shared" si="112"/>
        <v>1.0248035443964999E-7</v>
      </c>
      <c r="S349" s="150">
        <f t="shared" si="112"/>
        <v>1.0248035443964999E-7</v>
      </c>
      <c r="T349" s="150">
        <f t="shared" si="112"/>
        <v>1.0248035443964999E-7</v>
      </c>
      <c r="U349" s="150">
        <f t="shared" si="112"/>
        <v>1.0248035443964999E-7</v>
      </c>
      <c r="V349" s="150">
        <f t="shared" si="112"/>
        <v>1.0248035443964999E-7</v>
      </c>
      <c r="W349" s="150">
        <f t="shared" si="112"/>
        <v>1.0248035443964999E-7</v>
      </c>
      <c r="X349" s="150">
        <f t="shared" si="112"/>
        <v>0</v>
      </c>
      <c r="Y349" s="150">
        <f t="shared" si="112"/>
        <v>0</v>
      </c>
      <c r="Z349" s="150">
        <f t="shared" si="112"/>
        <v>0</v>
      </c>
      <c r="AA349" s="150">
        <f t="shared" si="112"/>
        <v>0</v>
      </c>
      <c r="AB349" s="150">
        <f t="shared" si="112"/>
        <v>0</v>
      </c>
      <c r="AC349" s="150">
        <f t="shared" si="112"/>
        <v>0</v>
      </c>
      <c r="AD349" s="150">
        <f t="shared" si="112"/>
        <v>0</v>
      </c>
      <c r="AE349" s="150">
        <f t="shared" si="112"/>
        <v>0</v>
      </c>
      <c r="AF349" s="150">
        <f t="shared" si="112"/>
        <v>0</v>
      </c>
      <c r="AG349" s="150">
        <f t="shared" si="112"/>
        <v>0</v>
      </c>
      <c r="AH349" s="128"/>
      <c r="AI349" s="128"/>
      <c r="AJ349" s="128"/>
      <c r="AK349" s="128"/>
      <c r="AL349" s="128"/>
      <c r="AM349" s="128"/>
      <c r="AN349" s="128"/>
      <c r="AO349" s="128"/>
      <c r="AP349" s="128"/>
      <c r="AQ349" s="128"/>
      <c r="AR349" s="128"/>
      <c r="AS349" s="128"/>
      <c r="AT349" s="128"/>
      <c r="AU349" s="128"/>
      <c r="AV349" s="128"/>
      <c r="AW349" s="128"/>
      <c r="AX349" s="128"/>
      <c r="AY349" s="128"/>
      <c r="AZ349" s="128"/>
      <c r="BA349" s="128"/>
      <c r="BB349" s="128"/>
      <c r="BC349" s="128"/>
      <c r="BD349" s="128"/>
      <c r="BE349" s="128"/>
      <c r="BF349" s="128"/>
      <c r="BG349" s="128"/>
      <c r="BH349" s="128"/>
      <c r="BI349" s="128"/>
      <c r="BJ349" s="128"/>
      <c r="BK349" s="128"/>
      <c r="BL349" s="128"/>
      <c r="BM349" s="128"/>
      <c r="BN349" s="128"/>
      <c r="BO349" s="128"/>
      <c r="BP349" s="128"/>
      <c r="BQ349" s="128"/>
      <c r="BR349" s="128"/>
      <c r="BS349" s="128"/>
      <c r="BT349" s="128"/>
      <c r="BU349" s="128"/>
      <c r="BV349" s="128"/>
      <c r="BW349" s="128"/>
      <c r="BX349" s="128"/>
      <c r="BY349" s="128"/>
      <c r="BZ349" s="128"/>
      <c r="CA349" s="128"/>
      <c r="CB349" s="128"/>
      <c r="CC349" s="128"/>
      <c r="CD349" s="128"/>
      <c r="CE349" s="128"/>
      <c r="CF349" s="128"/>
      <c r="CG349" s="128"/>
      <c r="CH349" s="128"/>
      <c r="CI349" s="128"/>
      <c r="CJ349" s="128"/>
      <c r="CK349" s="128"/>
      <c r="CL349" s="128"/>
      <c r="CM349" s="128"/>
      <c r="CN349" s="128"/>
      <c r="CO349" s="128"/>
      <c r="CP349" s="128"/>
      <c r="CQ349" s="128"/>
      <c r="CR349" s="128"/>
      <c r="CS349" s="128"/>
      <c r="CT349" s="128"/>
      <c r="CU349" s="128"/>
    </row>
    <row r="350" spans="2:99" ht="14.5" outlineLevel="1" thickBot="1">
      <c r="B350" s="186"/>
      <c r="C350" s="173" t="s">
        <v>445</v>
      </c>
      <c r="D350" s="174"/>
      <c r="E350" s="174"/>
      <c r="F350" s="175"/>
      <c r="G350" s="175"/>
      <c r="H350" s="175"/>
      <c r="I350" s="271">
        <f t="shared" ref="I350:AG350" si="113">SUM(I349:I349)</f>
        <v>1.0000000000000001E-7</v>
      </c>
      <c r="J350" s="271">
        <f t="shared" si="113"/>
        <v>1.0230000000000001E-7</v>
      </c>
      <c r="K350" s="271">
        <f t="shared" si="113"/>
        <v>1.0281149999999999E-7</v>
      </c>
      <c r="L350" s="271">
        <f t="shared" si="113"/>
        <v>1.00960893E-7</v>
      </c>
      <c r="M350" s="271">
        <f t="shared" si="113"/>
        <v>1.00960893E-7</v>
      </c>
      <c r="N350" s="271">
        <f t="shared" si="113"/>
        <v>1.00960893E-7</v>
      </c>
      <c r="O350" s="271">
        <f t="shared" si="113"/>
        <v>1.0197050193000001E-7</v>
      </c>
      <c r="P350" s="271">
        <f t="shared" si="113"/>
        <v>1.0248035443964999E-7</v>
      </c>
      <c r="Q350" s="271">
        <f t="shared" si="113"/>
        <v>1.0248035443964999E-7</v>
      </c>
      <c r="R350" s="271">
        <f t="shared" si="113"/>
        <v>1.0248035443964999E-7</v>
      </c>
      <c r="S350" s="271">
        <f t="shared" si="113"/>
        <v>1.0248035443964999E-7</v>
      </c>
      <c r="T350" s="271">
        <f t="shared" si="113"/>
        <v>1.0248035443964999E-7</v>
      </c>
      <c r="U350" s="271">
        <f t="shared" si="113"/>
        <v>1.0248035443964999E-7</v>
      </c>
      <c r="V350" s="271">
        <f t="shared" si="113"/>
        <v>1.0248035443964999E-7</v>
      </c>
      <c r="W350" s="271">
        <f t="shared" si="113"/>
        <v>1.0248035443964999E-7</v>
      </c>
      <c r="X350" s="271">
        <f t="shared" si="113"/>
        <v>0</v>
      </c>
      <c r="Y350" s="271">
        <f t="shared" si="113"/>
        <v>0</v>
      </c>
      <c r="Z350" s="271">
        <f t="shared" si="113"/>
        <v>0</v>
      </c>
      <c r="AA350" s="271">
        <f t="shared" si="113"/>
        <v>0</v>
      </c>
      <c r="AB350" s="271">
        <f t="shared" si="113"/>
        <v>0</v>
      </c>
      <c r="AC350" s="271">
        <f t="shared" si="113"/>
        <v>0</v>
      </c>
      <c r="AD350" s="271">
        <f t="shared" si="113"/>
        <v>0</v>
      </c>
      <c r="AE350" s="271">
        <f t="shared" si="113"/>
        <v>0</v>
      </c>
      <c r="AF350" s="271">
        <f t="shared" si="113"/>
        <v>0</v>
      </c>
      <c r="AG350" s="271">
        <f t="shared" si="113"/>
        <v>0</v>
      </c>
      <c r="AH350" s="128"/>
      <c r="AI350" s="128"/>
      <c r="AJ350" s="128"/>
      <c r="AK350" s="128"/>
      <c r="AL350" s="128"/>
      <c r="AM350" s="128"/>
      <c r="AN350" s="128"/>
      <c r="AO350" s="128"/>
      <c r="AP350" s="128"/>
      <c r="AQ350" s="128"/>
      <c r="AR350" s="128"/>
      <c r="AS350" s="128"/>
      <c r="AT350" s="128"/>
      <c r="AU350" s="128"/>
      <c r="AV350" s="128"/>
      <c r="AW350" s="128"/>
      <c r="AX350" s="128"/>
      <c r="AY350" s="128"/>
      <c r="AZ350" s="128"/>
      <c r="BA350" s="128"/>
      <c r="BB350" s="128"/>
      <c r="BC350" s="128"/>
      <c r="BD350" s="128"/>
      <c r="BE350" s="128"/>
      <c r="BF350" s="128"/>
      <c r="BG350" s="128"/>
      <c r="BH350" s="128"/>
      <c r="BI350" s="128"/>
      <c r="BJ350" s="128"/>
      <c r="BK350" s="128"/>
      <c r="BL350" s="128"/>
      <c r="BM350" s="128"/>
      <c r="BN350" s="128"/>
      <c r="BO350" s="128"/>
      <c r="BP350" s="128"/>
      <c r="BQ350" s="128"/>
      <c r="BR350" s="128"/>
      <c r="BS350" s="128"/>
      <c r="BT350" s="128"/>
      <c r="BU350" s="128"/>
      <c r="BV350" s="128"/>
      <c r="BW350" s="128"/>
      <c r="BX350" s="128"/>
      <c r="BY350" s="128"/>
      <c r="BZ350" s="128"/>
      <c r="CA350" s="128"/>
      <c r="CB350" s="128"/>
      <c r="CC350" s="128"/>
      <c r="CD350" s="128"/>
      <c r="CE350" s="128"/>
      <c r="CF350" s="128"/>
      <c r="CG350" s="128"/>
      <c r="CH350" s="128"/>
      <c r="CI350" s="128"/>
      <c r="CJ350" s="128"/>
      <c r="CK350" s="128"/>
      <c r="CL350" s="128"/>
      <c r="CM350" s="128"/>
      <c r="CN350" s="128"/>
      <c r="CO350" s="128"/>
      <c r="CP350" s="128"/>
      <c r="CQ350" s="128"/>
      <c r="CR350" s="128"/>
      <c r="CS350" s="128"/>
      <c r="CT350" s="128"/>
      <c r="CU350" s="128"/>
    </row>
    <row r="351" spans="2:99" ht="14.5" outlineLevel="1" thickBot="1">
      <c r="F351" s="128"/>
      <c r="G351" s="128"/>
      <c r="H351" s="128"/>
      <c r="I351" s="158"/>
      <c r="J351" s="158"/>
      <c r="K351" s="158"/>
      <c r="L351" s="158"/>
      <c r="M351" s="158"/>
      <c r="N351" s="158"/>
      <c r="O351" s="158"/>
      <c r="P351" s="158"/>
      <c r="Q351" s="158"/>
      <c r="R351" s="158"/>
      <c r="S351" s="158"/>
      <c r="T351" s="158"/>
      <c r="U351" s="158"/>
      <c r="V351" s="158"/>
      <c r="W351" s="158"/>
      <c r="X351" s="158"/>
      <c r="Y351" s="158"/>
      <c r="Z351" s="158"/>
      <c r="AA351" s="158"/>
      <c r="AB351" s="158"/>
      <c r="AC351" s="158"/>
      <c r="AD351" s="158"/>
      <c r="AE351" s="158"/>
      <c r="AF351" s="158"/>
      <c r="AG351" s="158"/>
      <c r="AH351" s="128"/>
      <c r="AI351" s="128"/>
      <c r="AJ351" s="128"/>
      <c r="AK351" s="128"/>
      <c r="AL351" s="128"/>
      <c r="AM351" s="128"/>
      <c r="AN351" s="128"/>
      <c r="AO351" s="128"/>
      <c r="AP351" s="128"/>
      <c r="AQ351" s="128"/>
      <c r="AR351" s="128"/>
      <c r="AS351" s="128"/>
      <c r="AT351" s="128"/>
      <c r="AU351" s="128"/>
      <c r="AV351" s="128"/>
      <c r="AW351" s="128"/>
      <c r="AX351" s="128"/>
      <c r="AY351" s="128"/>
      <c r="AZ351" s="128"/>
      <c r="BA351" s="128"/>
      <c r="BB351" s="128"/>
      <c r="BC351" s="128"/>
      <c r="BD351" s="128"/>
      <c r="BE351" s="128"/>
      <c r="BF351" s="128"/>
      <c r="BG351" s="128"/>
      <c r="BH351" s="128"/>
      <c r="BI351" s="128"/>
      <c r="BJ351" s="128"/>
      <c r="BK351" s="128"/>
      <c r="BL351" s="128"/>
      <c r="BM351" s="128"/>
      <c r="BN351" s="128"/>
      <c r="BO351" s="128"/>
      <c r="BP351" s="128"/>
      <c r="BQ351" s="128"/>
      <c r="BR351" s="128"/>
      <c r="BS351" s="128"/>
      <c r="BT351" s="128"/>
      <c r="BU351" s="128"/>
      <c r="BV351" s="128"/>
      <c r="BW351" s="128"/>
      <c r="BX351" s="128"/>
      <c r="BY351" s="128"/>
      <c r="BZ351" s="128"/>
      <c r="CA351" s="128"/>
      <c r="CB351" s="128"/>
      <c r="CC351" s="128"/>
      <c r="CD351" s="128"/>
      <c r="CE351" s="128"/>
      <c r="CF351" s="128"/>
      <c r="CG351" s="128"/>
      <c r="CH351" s="128"/>
      <c r="CI351" s="128"/>
      <c r="CJ351" s="128"/>
      <c r="CK351" s="128"/>
      <c r="CL351" s="128"/>
      <c r="CM351" s="128"/>
      <c r="CN351" s="128"/>
      <c r="CO351" s="128"/>
      <c r="CP351" s="128"/>
      <c r="CQ351" s="128"/>
      <c r="CR351" s="128"/>
      <c r="CS351" s="128"/>
      <c r="CT351" s="128"/>
      <c r="CU351" s="128"/>
    </row>
    <row r="352" spans="2:99" ht="14.5" outlineLevel="1" thickBot="1">
      <c r="B352" s="186"/>
      <c r="C352" s="173" t="s">
        <v>446</v>
      </c>
      <c r="D352" s="174"/>
      <c r="E352" s="174"/>
      <c r="F352" s="175"/>
      <c r="G352" s="175"/>
      <c r="H352" s="175"/>
      <c r="I352" s="271">
        <f t="shared" ref="I352:AG352" si="114">I346-I350</f>
        <v>8808.797372876561</v>
      </c>
      <c r="J352" s="271">
        <f t="shared" si="114"/>
        <v>8755.9445886364028</v>
      </c>
      <c r="K352" s="271">
        <f t="shared" si="114"/>
        <v>8703.4089211034589</v>
      </c>
      <c r="L352" s="271">
        <f t="shared" si="114"/>
        <v>8651.1884675780711</v>
      </c>
      <c r="M352" s="271">
        <f t="shared" si="114"/>
        <v>8599.2813367719973</v>
      </c>
      <c r="N352" s="271">
        <f t="shared" si="114"/>
        <v>8547.6856487507594</v>
      </c>
      <c r="O352" s="271">
        <f t="shared" si="114"/>
        <v>8496.3995348566405</v>
      </c>
      <c r="P352" s="271">
        <f t="shared" si="114"/>
        <v>8445.4211376463791</v>
      </c>
      <c r="Q352" s="271">
        <f t="shared" si="114"/>
        <v>8394.7486108198864</v>
      </c>
      <c r="R352" s="271">
        <f t="shared" si="114"/>
        <v>8344.3801191543516</v>
      </c>
      <c r="S352" s="271">
        <f t="shared" si="114"/>
        <v>8294.3138384388094</v>
      </c>
      <c r="T352" s="271">
        <f t="shared" si="114"/>
        <v>8244.5479554075628</v>
      </c>
      <c r="U352" s="271">
        <f t="shared" si="114"/>
        <v>8195.0806676745015</v>
      </c>
      <c r="V352" s="271">
        <f t="shared" si="114"/>
        <v>8145.9101836678401</v>
      </c>
      <c r="W352" s="271">
        <f t="shared" si="114"/>
        <v>8097.0347225652176</v>
      </c>
      <c r="X352" s="271">
        <f t="shared" si="114"/>
        <v>8048.4525143316923</v>
      </c>
      <c r="Y352" s="271">
        <f t="shared" si="114"/>
        <v>8000.1617992457013</v>
      </c>
      <c r="Z352" s="271">
        <f t="shared" si="114"/>
        <v>7952.1608284502272</v>
      </c>
      <c r="AA352" s="271">
        <f t="shared" si="114"/>
        <v>7904.4478634795259</v>
      </c>
      <c r="AB352" s="271">
        <f t="shared" si="114"/>
        <v>7857.0211762986492</v>
      </c>
      <c r="AC352" s="271">
        <f t="shared" si="114"/>
        <v>7809.8790492408571</v>
      </c>
      <c r="AD352" s="271">
        <f t="shared" si="114"/>
        <v>7763.0197749454119</v>
      </c>
      <c r="AE352" s="271">
        <f t="shared" si="114"/>
        <v>7716.4416562957394</v>
      </c>
      <c r="AF352" s="271">
        <f t="shared" si="114"/>
        <v>7670.1430063579646</v>
      </c>
      <c r="AG352" s="271">
        <f t="shared" si="114"/>
        <v>7624.1221483198169</v>
      </c>
      <c r="AH352" s="128"/>
      <c r="AI352" s="128"/>
      <c r="AJ352" s="128"/>
      <c r="AK352" s="128"/>
      <c r="AL352" s="128"/>
      <c r="AM352" s="128"/>
      <c r="AN352" s="128"/>
      <c r="AO352" s="128"/>
      <c r="AP352" s="128"/>
      <c r="AQ352" s="128"/>
      <c r="AR352" s="128"/>
      <c r="AS352" s="128"/>
      <c r="AT352" s="128"/>
      <c r="AU352" s="128"/>
      <c r="AV352" s="128"/>
      <c r="AW352" s="128"/>
      <c r="AX352" s="128"/>
      <c r="AY352" s="128"/>
      <c r="AZ352" s="128"/>
      <c r="BA352" s="128"/>
      <c r="BB352" s="128"/>
      <c r="BC352" s="128"/>
      <c r="BD352" s="128"/>
      <c r="BE352" s="128"/>
      <c r="BF352" s="128"/>
      <c r="BG352" s="128"/>
      <c r="BH352" s="128"/>
      <c r="BI352" s="128"/>
      <c r="BJ352" s="128"/>
      <c r="BK352" s="128"/>
      <c r="BL352" s="128"/>
      <c r="BM352" s="128"/>
      <c r="BN352" s="128"/>
      <c r="BO352" s="128"/>
      <c r="BP352" s="128"/>
      <c r="BQ352" s="128"/>
      <c r="BR352" s="128"/>
      <c r="BS352" s="128"/>
      <c r="BT352" s="128"/>
      <c r="BU352" s="128"/>
      <c r="BV352" s="128"/>
      <c r="BW352" s="128"/>
      <c r="BX352" s="128"/>
      <c r="BY352" s="128"/>
      <c r="BZ352" s="128"/>
      <c r="CA352" s="128"/>
      <c r="CB352" s="128"/>
      <c r="CC352" s="128"/>
      <c r="CD352" s="128"/>
      <c r="CE352" s="128"/>
      <c r="CF352" s="128"/>
      <c r="CG352" s="128"/>
      <c r="CH352" s="128"/>
      <c r="CI352" s="128"/>
      <c r="CJ352" s="128"/>
      <c r="CK352" s="128"/>
      <c r="CL352" s="128"/>
      <c r="CM352" s="128"/>
      <c r="CN352" s="128"/>
      <c r="CO352" s="128"/>
      <c r="CP352" s="128"/>
      <c r="CQ352" s="128"/>
      <c r="CR352" s="128"/>
      <c r="CS352" s="128"/>
      <c r="CT352" s="128"/>
      <c r="CU352" s="128"/>
    </row>
    <row r="353" spans="2:99" ht="14.5" outlineLevel="1" thickBot="1">
      <c r="F353" s="128"/>
      <c r="G353" s="128"/>
      <c r="H353" s="128"/>
      <c r="I353" s="340"/>
      <c r="J353" s="340"/>
      <c r="K353" s="340"/>
      <c r="L353" s="340"/>
      <c r="M353" s="340"/>
      <c r="N353" s="340"/>
      <c r="O353" s="340"/>
      <c r="P353" s="340"/>
      <c r="Q353" s="340"/>
      <c r="R353" s="340"/>
      <c r="S353" s="340"/>
      <c r="T353" s="340"/>
      <c r="U353" s="340"/>
      <c r="V353" s="340"/>
      <c r="W353" s="340"/>
      <c r="X353" s="340"/>
      <c r="Y353" s="340"/>
      <c r="Z353" s="340"/>
      <c r="AA353" s="340"/>
      <c r="AB353" s="340"/>
      <c r="AC353" s="340"/>
      <c r="AD353" s="340"/>
      <c r="AE353" s="340"/>
      <c r="AF353" s="340"/>
      <c r="AG353" s="340"/>
      <c r="AH353" s="128"/>
      <c r="AI353" s="128"/>
      <c r="AJ353" s="128"/>
      <c r="AK353" s="128"/>
      <c r="AL353" s="128"/>
      <c r="AM353" s="128"/>
      <c r="AN353" s="128"/>
      <c r="AO353" s="128"/>
      <c r="AP353" s="128"/>
      <c r="AQ353" s="128"/>
      <c r="AR353" s="128"/>
      <c r="AS353" s="128"/>
      <c r="AT353" s="128"/>
      <c r="AU353" s="128"/>
      <c r="AV353" s="128"/>
      <c r="AW353" s="128"/>
      <c r="AX353" s="128"/>
      <c r="AY353" s="128"/>
      <c r="AZ353" s="128"/>
      <c r="BA353" s="128"/>
      <c r="BB353" s="128"/>
      <c r="BC353" s="128"/>
      <c r="BD353" s="128"/>
      <c r="BE353" s="128"/>
      <c r="BF353" s="128"/>
      <c r="BG353" s="128"/>
      <c r="BH353" s="128"/>
      <c r="BI353" s="128"/>
      <c r="BJ353" s="128"/>
      <c r="BK353" s="128"/>
      <c r="BL353" s="128"/>
      <c r="BM353" s="128"/>
      <c r="BN353" s="128"/>
      <c r="BO353" s="128"/>
      <c r="BP353" s="128"/>
      <c r="BQ353" s="128"/>
      <c r="BR353" s="128"/>
      <c r="BS353" s="128"/>
      <c r="BT353" s="128"/>
      <c r="BU353" s="128"/>
      <c r="BV353" s="128"/>
      <c r="BW353" s="128"/>
      <c r="BX353" s="128"/>
      <c r="BY353" s="128"/>
      <c r="BZ353" s="128"/>
      <c r="CA353" s="128"/>
      <c r="CB353" s="128"/>
      <c r="CC353" s="128"/>
      <c r="CD353" s="128"/>
      <c r="CE353" s="128"/>
      <c r="CF353" s="128"/>
      <c r="CG353" s="128"/>
      <c r="CH353" s="128"/>
      <c r="CI353" s="128"/>
      <c r="CJ353" s="128"/>
      <c r="CK353" s="128"/>
      <c r="CL353" s="128"/>
      <c r="CM353" s="128"/>
      <c r="CN353" s="128"/>
      <c r="CO353" s="128"/>
      <c r="CP353" s="128"/>
      <c r="CQ353" s="128"/>
      <c r="CR353" s="128"/>
      <c r="CS353" s="128"/>
      <c r="CT353" s="128"/>
      <c r="CU353" s="128"/>
    </row>
    <row r="354" spans="2:99" ht="14.5" outlineLevel="1" thickBot="1">
      <c r="B354" s="132"/>
      <c r="C354" s="132" t="s">
        <v>264</v>
      </c>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47"/>
      <c r="AH354" s="128"/>
      <c r="AI354" s="128"/>
      <c r="AJ354" s="128"/>
      <c r="AK354" s="128"/>
      <c r="AL354" s="128"/>
      <c r="AM354" s="128"/>
      <c r="AN354" s="128"/>
      <c r="AO354" s="128"/>
      <c r="AP354" s="128"/>
      <c r="AQ354" s="128"/>
      <c r="AR354" s="128"/>
      <c r="AS354" s="128"/>
      <c r="AT354" s="128"/>
      <c r="AU354" s="128"/>
      <c r="AV354" s="128"/>
      <c r="AW354" s="128"/>
      <c r="AX354" s="128"/>
      <c r="AY354" s="128"/>
      <c r="AZ354" s="128"/>
      <c r="BA354" s="128"/>
      <c r="BB354" s="128"/>
      <c r="BC354" s="128"/>
      <c r="BD354" s="128"/>
      <c r="BE354" s="128"/>
      <c r="BF354" s="128"/>
      <c r="BG354" s="128"/>
      <c r="BH354" s="128"/>
      <c r="BI354" s="128"/>
      <c r="BJ354" s="128"/>
      <c r="BK354" s="128"/>
      <c r="BL354" s="128"/>
      <c r="BM354" s="128"/>
      <c r="BN354" s="128"/>
      <c r="BO354" s="128"/>
      <c r="BP354" s="128"/>
      <c r="BQ354" s="128"/>
      <c r="BR354" s="128"/>
      <c r="BS354" s="128"/>
      <c r="BT354" s="128"/>
      <c r="BU354" s="128"/>
      <c r="BV354" s="128"/>
      <c r="BW354" s="128"/>
      <c r="BX354" s="128"/>
      <c r="BY354" s="128"/>
      <c r="BZ354" s="128"/>
      <c r="CA354" s="128"/>
      <c r="CB354" s="128"/>
      <c r="CC354" s="128"/>
      <c r="CD354" s="128"/>
      <c r="CE354" s="128"/>
      <c r="CF354" s="128"/>
      <c r="CG354" s="128"/>
      <c r="CH354" s="128"/>
      <c r="CI354" s="128"/>
      <c r="CJ354" s="128"/>
      <c r="CK354" s="128"/>
      <c r="CL354" s="128"/>
      <c r="CM354" s="128"/>
      <c r="CN354" s="128"/>
      <c r="CO354" s="128"/>
      <c r="CP354" s="128"/>
      <c r="CQ354" s="128"/>
      <c r="CR354" s="128"/>
      <c r="CS354" s="128"/>
      <c r="CT354" s="128"/>
      <c r="CU354" s="128"/>
    </row>
    <row r="355" spans="2:99" ht="14.5" outlineLevel="1" thickBot="1">
      <c r="B355" s="186"/>
      <c r="C355" s="187" t="s">
        <v>447</v>
      </c>
      <c r="D355" s="205"/>
      <c r="E355" s="205"/>
      <c r="F355" s="339"/>
      <c r="G355" s="339"/>
      <c r="H355" s="339"/>
      <c r="I355" s="150">
        <f>I352*0</f>
        <v>0</v>
      </c>
      <c r="J355" s="150">
        <f t="shared" ref="J355:AD355" si="115">J352*0</f>
        <v>0</v>
      </c>
      <c r="K355" s="150">
        <f t="shared" si="115"/>
        <v>0</v>
      </c>
      <c r="L355" s="150">
        <f t="shared" si="115"/>
        <v>0</v>
      </c>
      <c r="M355" s="150">
        <f t="shared" si="115"/>
        <v>0</v>
      </c>
      <c r="N355" s="150">
        <f t="shared" si="115"/>
        <v>0</v>
      </c>
      <c r="O355" s="150">
        <f t="shared" si="115"/>
        <v>0</v>
      </c>
      <c r="P355" s="150">
        <f t="shared" si="115"/>
        <v>0</v>
      </c>
      <c r="Q355" s="150">
        <f t="shared" si="115"/>
        <v>0</v>
      </c>
      <c r="R355" s="150">
        <f t="shared" si="115"/>
        <v>0</v>
      </c>
      <c r="S355" s="150">
        <f t="shared" si="115"/>
        <v>0</v>
      </c>
      <c r="T355" s="150">
        <f t="shared" si="115"/>
        <v>0</v>
      </c>
      <c r="U355" s="150">
        <f t="shared" si="115"/>
        <v>0</v>
      </c>
      <c r="V355" s="150">
        <f t="shared" si="115"/>
        <v>0</v>
      </c>
      <c r="W355" s="150">
        <f t="shared" si="115"/>
        <v>0</v>
      </c>
      <c r="X355" s="150">
        <f t="shared" si="115"/>
        <v>0</v>
      </c>
      <c r="Y355" s="150">
        <f t="shared" si="115"/>
        <v>0</v>
      </c>
      <c r="Z355" s="150">
        <f t="shared" si="115"/>
        <v>0</v>
      </c>
      <c r="AA355" s="150">
        <f t="shared" si="115"/>
        <v>0</v>
      </c>
      <c r="AB355" s="150">
        <f t="shared" si="115"/>
        <v>0</v>
      </c>
      <c r="AC355" s="150">
        <f t="shared" si="115"/>
        <v>0</v>
      </c>
      <c r="AD355" s="150">
        <f t="shared" si="115"/>
        <v>0</v>
      </c>
      <c r="AE355" s="150">
        <f t="shared" ref="AE355:AG355" si="116">AE352*$D$25</f>
        <v>1003.1374153184462</v>
      </c>
      <c r="AF355" s="150">
        <f t="shared" si="116"/>
        <v>997.11859082653541</v>
      </c>
      <c r="AG355" s="150">
        <f t="shared" si="116"/>
        <v>991.13587928157619</v>
      </c>
      <c r="AH355" s="128"/>
      <c r="AI355" s="128"/>
      <c r="AJ355" s="128"/>
      <c r="AK355" s="128"/>
      <c r="AL355" s="128"/>
      <c r="AM355" s="128"/>
      <c r="AN355" s="128"/>
      <c r="AO355" s="128"/>
      <c r="AP355" s="128"/>
      <c r="AQ355" s="128"/>
      <c r="AR355" s="128"/>
      <c r="AS355" s="128"/>
      <c r="AT355" s="128"/>
      <c r="AU355" s="128"/>
      <c r="AV355" s="128"/>
      <c r="AW355" s="128"/>
      <c r="AX355" s="128"/>
      <c r="AY355" s="128"/>
      <c r="AZ355" s="128"/>
      <c r="BA355" s="128"/>
      <c r="BB355" s="128"/>
      <c r="BC355" s="128"/>
      <c r="BD355" s="128"/>
      <c r="BE355" s="128"/>
      <c r="BF355" s="128"/>
      <c r="BG355" s="128"/>
      <c r="BH355" s="128"/>
      <c r="BI355" s="128"/>
      <c r="BJ355" s="128"/>
      <c r="BK355" s="128"/>
      <c r="BL355" s="128"/>
      <c r="BM355" s="128"/>
      <c r="BN355" s="128"/>
      <c r="BO355" s="128"/>
      <c r="BP355" s="128"/>
      <c r="BQ355" s="128"/>
      <c r="BR355" s="128"/>
      <c r="BS355" s="128"/>
      <c r="BT355" s="128"/>
      <c r="BU355" s="128"/>
      <c r="BV355" s="128"/>
      <c r="BW355" s="128"/>
      <c r="BX355" s="128"/>
      <c r="BY355" s="128"/>
      <c r="BZ355" s="128"/>
      <c r="CA355" s="128"/>
      <c r="CB355" s="128"/>
      <c r="CC355" s="128"/>
      <c r="CD355" s="128"/>
      <c r="CE355" s="128"/>
      <c r="CF355" s="128"/>
      <c r="CG355" s="128"/>
      <c r="CH355" s="128"/>
      <c r="CI355" s="128"/>
      <c r="CJ355" s="128"/>
      <c r="CK355" s="128"/>
      <c r="CL355" s="128"/>
      <c r="CM355" s="128"/>
      <c r="CN355" s="128"/>
      <c r="CO355" s="128"/>
      <c r="CP355" s="128"/>
      <c r="CQ355" s="128"/>
      <c r="CR355" s="128"/>
      <c r="CS355" s="128"/>
      <c r="CT355" s="128"/>
      <c r="CU355" s="128"/>
    </row>
    <row r="356" spans="2:99" ht="14.5" outlineLevel="1" thickBot="1">
      <c r="B356" s="186"/>
      <c r="C356" s="173" t="s">
        <v>448</v>
      </c>
      <c r="D356" s="174"/>
      <c r="E356" s="174"/>
      <c r="F356" s="175"/>
      <c r="G356" s="175"/>
      <c r="H356" s="175"/>
      <c r="I356" s="271">
        <f>I352-I355</f>
        <v>8808.797372876561</v>
      </c>
      <c r="J356" s="271">
        <f t="shared" ref="J356:AG356" si="117">J352-J355</f>
        <v>8755.9445886364028</v>
      </c>
      <c r="K356" s="271">
        <f t="shared" si="117"/>
        <v>8703.4089211034589</v>
      </c>
      <c r="L356" s="271">
        <f t="shared" si="117"/>
        <v>8651.1884675780711</v>
      </c>
      <c r="M356" s="271">
        <f t="shared" si="117"/>
        <v>8599.2813367719973</v>
      </c>
      <c r="N356" s="271">
        <f t="shared" si="117"/>
        <v>8547.6856487507594</v>
      </c>
      <c r="O356" s="271">
        <f t="shared" si="117"/>
        <v>8496.3995348566405</v>
      </c>
      <c r="P356" s="271">
        <f t="shared" si="117"/>
        <v>8445.4211376463791</v>
      </c>
      <c r="Q356" s="271">
        <f t="shared" si="117"/>
        <v>8394.7486108198864</v>
      </c>
      <c r="R356" s="271">
        <f t="shared" si="117"/>
        <v>8344.3801191543516</v>
      </c>
      <c r="S356" s="271">
        <f t="shared" si="117"/>
        <v>8294.3138384388094</v>
      </c>
      <c r="T356" s="271">
        <f t="shared" si="117"/>
        <v>8244.5479554075628</v>
      </c>
      <c r="U356" s="271">
        <f t="shared" si="117"/>
        <v>8195.0806676745015</v>
      </c>
      <c r="V356" s="271">
        <f t="shared" si="117"/>
        <v>8145.9101836678401</v>
      </c>
      <c r="W356" s="271">
        <f t="shared" si="117"/>
        <v>8097.0347225652176</v>
      </c>
      <c r="X356" s="271">
        <f t="shared" si="117"/>
        <v>8048.4525143316923</v>
      </c>
      <c r="Y356" s="271">
        <f t="shared" si="117"/>
        <v>8000.1617992457013</v>
      </c>
      <c r="Z356" s="271">
        <f t="shared" si="117"/>
        <v>7952.1608284502272</v>
      </c>
      <c r="AA356" s="271">
        <f t="shared" si="117"/>
        <v>7904.4478634795259</v>
      </c>
      <c r="AB356" s="271">
        <f t="shared" si="117"/>
        <v>7857.0211762986492</v>
      </c>
      <c r="AC356" s="271">
        <f t="shared" si="117"/>
        <v>7809.8790492408571</v>
      </c>
      <c r="AD356" s="271">
        <f t="shared" si="117"/>
        <v>7763.0197749454119</v>
      </c>
      <c r="AE356" s="271">
        <f t="shared" si="117"/>
        <v>6713.3042409772934</v>
      </c>
      <c r="AF356" s="271">
        <f t="shared" si="117"/>
        <v>6673.0244155314294</v>
      </c>
      <c r="AG356" s="271">
        <f t="shared" si="117"/>
        <v>6632.9862690382406</v>
      </c>
      <c r="AH356" s="128"/>
      <c r="AI356" s="128"/>
      <c r="AJ356" s="128"/>
      <c r="AK356" s="128"/>
      <c r="AL356" s="128"/>
      <c r="AM356" s="128"/>
      <c r="AN356" s="128"/>
      <c r="AO356" s="128"/>
      <c r="AP356" s="128"/>
      <c r="AQ356" s="128"/>
      <c r="AR356" s="128"/>
      <c r="AS356" s="128"/>
      <c r="AT356" s="128"/>
      <c r="AU356" s="128"/>
      <c r="AV356" s="128"/>
      <c r="AW356" s="128"/>
      <c r="AX356" s="128"/>
      <c r="AY356" s="128"/>
      <c r="AZ356" s="128"/>
      <c r="BA356" s="128"/>
      <c r="BB356" s="128"/>
      <c r="BC356" s="128"/>
      <c r="BD356" s="128"/>
      <c r="BE356" s="128"/>
      <c r="BF356" s="128"/>
      <c r="BG356" s="128"/>
      <c r="BH356" s="128"/>
      <c r="BI356" s="128"/>
      <c r="BJ356" s="128"/>
      <c r="BK356" s="128"/>
      <c r="BL356" s="128"/>
      <c r="BM356" s="128"/>
      <c r="BN356" s="128"/>
      <c r="BO356" s="128"/>
      <c r="BP356" s="128"/>
      <c r="BQ356" s="128"/>
      <c r="BR356" s="128"/>
      <c r="BS356" s="128"/>
      <c r="BT356" s="128"/>
      <c r="BU356" s="128"/>
      <c r="BV356" s="128"/>
      <c r="BW356" s="128"/>
      <c r="BX356" s="128"/>
      <c r="BY356" s="128"/>
      <c r="BZ356" s="128"/>
      <c r="CA356" s="128"/>
      <c r="CB356" s="128"/>
      <c r="CC356" s="128"/>
      <c r="CD356" s="128"/>
      <c r="CE356" s="128"/>
      <c r="CF356" s="128"/>
      <c r="CG356" s="128"/>
      <c r="CH356" s="128"/>
      <c r="CI356" s="128"/>
      <c r="CJ356" s="128"/>
      <c r="CK356" s="128"/>
      <c r="CL356" s="128"/>
      <c r="CM356" s="128"/>
      <c r="CN356" s="128"/>
      <c r="CO356" s="128"/>
      <c r="CP356" s="128"/>
      <c r="CQ356" s="128"/>
      <c r="CR356" s="128"/>
      <c r="CS356" s="128"/>
      <c r="CT356" s="128"/>
      <c r="CU356" s="128"/>
    </row>
    <row r="357" spans="2:99" ht="14.5" outlineLevel="1" thickBot="1">
      <c r="F357" s="128"/>
      <c r="G357" s="128"/>
      <c r="H357" s="128"/>
      <c r="I357" s="340"/>
      <c r="J357" s="340"/>
      <c r="K357" s="340"/>
      <c r="L357" s="340"/>
      <c r="M357" s="340"/>
      <c r="N357" s="340"/>
      <c r="O357" s="340"/>
      <c r="P357" s="340"/>
      <c r="Q357" s="340"/>
      <c r="R357" s="340"/>
      <c r="S357" s="340"/>
      <c r="T357" s="340"/>
      <c r="U357" s="340"/>
      <c r="V357" s="340"/>
      <c r="W357" s="340"/>
      <c r="X357" s="340"/>
      <c r="Y357" s="340"/>
      <c r="Z357" s="340"/>
      <c r="AA357" s="340"/>
      <c r="AB357" s="340"/>
      <c r="AC357" s="340"/>
      <c r="AD357" s="340"/>
      <c r="AE357" s="340"/>
      <c r="AF357" s="340"/>
      <c r="AG357" s="340"/>
      <c r="AH357" s="128"/>
      <c r="AI357" s="128"/>
      <c r="AJ357" s="128"/>
      <c r="AK357" s="128"/>
      <c r="AL357" s="128"/>
      <c r="AM357" s="128"/>
      <c r="AN357" s="128"/>
      <c r="AO357" s="128"/>
      <c r="AP357" s="128"/>
      <c r="AQ357" s="128"/>
      <c r="AR357" s="128"/>
      <c r="AS357" s="128"/>
      <c r="AT357" s="128"/>
      <c r="AU357" s="128"/>
      <c r="AV357" s="128"/>
      <c r="AW357" s="128"/>
      <c r="AX357" s="128"/>
      <c r="AY357" s="128"/>
      <c r="AZ357" s="128"/>
      <c r="BA357" s="128"/>
      <c r="BB357" s="128"/>
      <c r="BC357" s="128"/>
      <c r="BD357" s="128"/>
      <c r="BE357" s="128"/>
      <c r="BF357" s="128"/>
      <c r="BG357" s="128"/>
      <c r="BH357" s="128"/>
      <c r="BI357" s="128"/>
      <c r="BJ357" s="128"/>
      <c r="BK357" s="128"/>
      <c r="BL357" s="128"/>
      <c r="BM357" s="128"/>
      <c r="BN357" s="128"/>
      <c r="BO357" s="128"/>
      <c r="BP357" s="128"/>
      <c r="BQ357" s="128"/>
      <c r="BR357" s="128"/>
      <c r="BS357" s="128"/>
      <c r="BT357" s="128"/>
      <c r="BU357" s="128"/>
      <c r="BV357" s="128"/>
      <c r="BW357" s="128"/>
      <c r="BX357" s="128"/>
      <c r="BY357" s="128"/>
      <c r="BZ357" s="128"/>
      <c r="CA357" s="128"/>
      <c r="CB357" s="128"/>
      <c r="CC357" s="128"/>
      <c r="CD357" s="128"/>
      <c r="CE357" s="128"/>
      <c r="CF357" s="128"/>
      <c r="CG357" s="128"/>
      <c r="CH357" s="128"/>
      <c r="CI357" s="128"/>
      <c r="CJ357" s="128"/>
      <c r="CK357" s="128"/>
      <c r="CL357" s="128"/>
      <c r="CM357" s="128"/>
      <c r="CN357" s="128"/>
      <c r="CO357" s="128"/>
      <c r="CP357" s="128"/>
      <c r="CQ357" s="128"/>
      <c r="CR357" s="128"/>
      <c r="CS357" s="128"/>
      <c r="CT357" s="128"/>
      <c r="CU357" s="128"/>
    </row>
    <row r="358" spans="2:99" ht="14.5" outlineLevel="1" thickBot="1">
      <c r="B358" s="132"/>
      <c r="C358" s="132" t="s">
        <v>260</v>
      </c>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47"/>
      <c r="AH358" s="128"/>
      <c r="AI358" s="128"/>
      <c r="AJ358" s="128"/>
      <c r="AK358" s="128"/>
      <c r="AL358" s="128"/>
      <c r="AM358" s="128"/>
      <c r="AN358" s="128"/>
      <c r="AO358" s="128"/>
      <c r="AP358" s="128"/>
      <c r="AQ358" s="128"/>
      <c r="AR358" s="128"/>
      <c r="AS358" s="128"/>
      <c r="AT358" s="128"/>
      <c r="AU358" s="128"/>
      <c r="AV358" s="128"/>
      <c r="AW358" s="128"/>
      <c r="AX358" s="128"/>
      <c r="AY358" s="128"/>
      <c r="AZ358" s="128"/>
      <c r="BA358" s="128"/>
      <c r="BB358" s="128"/>
      <c r="BC358" s="128"/>
      <c r="BD358" s="128"/>
      <c r="BE358" s="128"/>
      <c r="BF358" s="128"/>
      <c r="BG358" s="128"/>
      <c r="BH358" s="128"/>
      <c r="BI358" s="128"/>
      <c r="BJ358" s="128"/>
      <c r="BK358" s="128"/>
      <c r="BL358" s="128"/>
      <c r="BM358" s="128"/>
      <c r="BN358" s="128"/>
      <c r="BO358" s="128"/>
      <c r="BP358" s="128"/>
      <c r="BQ358" s="128"/>
      <c r="BR358" s="128"/>
      <c r="BS358" s="128"/>
      <c r="BT358" s="128"/>
      <c r="BU358" s="128"/>
      <c r="BV358" s="128"/>
      <c r="BW358" s="128"/>
      <c r="BX358" s="128"/>
      <c r="BY358" s="128"/>
      <c r="BZ358" s="128"/>
      <c r="CA358" s="128"/>
      <c r="CB358" s="128"/>
      <c r="CC358" s="128"/>
      <c r="CD358" s="128"/>
      <c r="CE358" s="128"/>
      <c r="CF358" s="128"/>
      <c r="CG358" s="128"/>
      <c r="CH358" s="128"/>
      <c r="CI358" s="128"/>
      <c r="CJ358" s="128"/>
      <c r="CK358" s="128"/>
      <c r="CL358" s="128"/>
      <c r="CM358" s="128"/>
      <c r="CN358" s="128"/>
      <c r="CO358" s="128"/>
      <c r="CP358" s="128"/>
      <c r="CQ358" s="128"/>
      <c r="CR358" s="128"/>
      <c r="CS358" s="128"/>
      <c r="CT358" s="128"/>
      <c r="CU358" s="128"/>
    </row>
    <row r="359" spans="2:99" ht="14.5" outlineLevel="1" thickBot="1">
      <c r="B359" s="186"/>
      <c r="C359" s="173" t="s">
        <v>449</v>
      </c>
      <c r="D359" s="174"/>
      <c r="E359" s="174"/>
      <c r="F359" s="175"/>
      <c r="G359" s="175"/>
      <c r="H359" s="175"/>
      <c r="I359" s="271">
        <f>I356</f>
        <v>8808.797372876561</v>
      </c>
      <c r="J359" s="271">
        <f t="shared" ref="J359:AG359" si="118">IFERROR(J356/((1+$D$21)^(J$2-$I$2)),"")</f>
        <v>8755.9445886364028</v>
      </c>
      <c r="K359" s="271">
        <f t="shared" si="118"/>
        <v>8703.4089211034589</v>
      </c>
      <c r="L359" s="271">
        <f t="shared" si="118"/>
        <v>8651.1884675780711</v>
      </c>
      <c r="M359" s="271">
        <f t="shared" si="118"/>
        <v>8599.2813367719973</v>
      </c>
      <c r="N359" s="271">
        <f t="shared" si="118"/>
        <v>8547.6856487507594</v>
      </c>
      <c r="O359" s="271">
        <f t="shared" si="118"/>
        <v>8496.3995348566405</v>
      </c>
      <c r="P359" s="271">
        <f t="shared" si="118"/>
        <v>8445.4211376463791</v>
      </c>
      <c r="Q359" s="271">
        <f t="shared" si="118"/>
        <v>8394.7486108198864</v>
      </c>
      <c r="R359" s="271">
        <f t="shared" si="118"/>
        <v>8344.3801191543516</v>
      </c>
      <c r="S359" s="271">
        <f t="shared" si="118"/>
        <v>8294.3138384388094</v>
      </c>
      <c r="T359" s="271">
        <f t="shared" si="118"/>
        <v>8244.5479554075628</v>
      </c>
      <c r="U359" s="271">
        <f t="shared" si="118"/>
        <v>8195.0806676745015</v>
      </c>
      <c r="V359" s="271">
        <f t="shared" si="118"/>
        <v>8145.9101836678401</v>
      </c>
      <c r="W359" s="271">
        <f t="shared" si="118"/>
        <v>8097.0347225652176</v>
      </c>
      <c r="X359" s="271">
        <f t="shared" si="118"/>
        <v>8048.4525143316923</v>
      </c>
      <c r="Y359" s="271">
        <f t="shared" si="118"/>
        <v>8000.1617992457013</v>
      </c>
      <c r="Z359" s="271">
        <f t="shared" si="118"/>
        <v>7952.1608284502272</v>
      </c>
      <c r="AA359" s="271">
        <f t="shared" si="118"/>
        <v>7904.4478634795259</v>
      </c>
      <c r="AB359" s="271">
        <f t="shared" si="118"/>
        <v>7857.0211762986492</v>
      </c>
      <c r="AC359" s="271">
        <f t="shared" si="118"/>
        <v>7809.8790492408571</v>
      </c>
      <c r="AD359" s="271">
        <f t="shared" si="118"/>
        <v>7763.0197749454119</v>
      </c>
      <c r="AE359" s="271">
        <f t="shared" si="118"/>
        <v>6713.3042409772934</v>
      </c>
      <c r="AF359" s="271">
        <f t="shared" si="118"/>
        <v>6673.0244155314294</v>
      </c>
      <c r="AG359" s="271">
        <f t="shared" si="118"/>
        <v>6632.9862690382406</v>
      </c>
      <c r="AH359" s="128"/>
      <c r="AI359" s="128"/>
      <c r="AJ359" s="128"/>
      <c r="AK359" s="128"/>
      <c r="AL359" s="128"/>
      <c r="AM359" s="128"/>
      <c r="AN359" s="128"/>
      <c r="AO359" s="128"/>
      <c r="AP359" s="128"/>
      <c r="AQ359" s="128"/>
      <c r="AR359" s="128"/>
      <c r="AS359" s="128"/>
      <c r="AT359" s="128"/>
      <c r="AU359" s="128"/>
      <c r="AV359" s="128"/>
      <c r="AW359" s="128"/>
      <c r="AX359" s="128"/>
      <c r="AY359" s="128"/>
      <c r="AZ359" s="128"/>
      <c r="BA359" s="128"/>
      <c r="BB359" s="128"/>
      <c r="BC359" s="128"/>
      <c r="BD359" s="128"/>
      <c r="BE359" s="128"/>
      <c r="BF359" s="128"/>
      <c r="BG359" s="128"/>
      <c r="BH359" s="128"/>
      <c r="BI359" s="128"/>
      <c r="BJ359" s="128"/>
      <c r="BK359" s="128"/>
      <c r="BL359" s="128"/>
      <c r="BM359" s="128"/>
      <c r="BN359" s="128"/>
      <c r="BO359" s="128"/>
      <c r="BP359" s="128"/>
      <c r="BQ359" s="128"/>
      <c r="BR359" s="128"/>
      <c r="BS359" s="128"/>
      <c r="BT359" s="128"/>
      <c r="BU359" s="128"/>
      <c r="BV359" s="128"/>
      <c r="BW359" s="128"/>
      <c r="BX359" s="128"/>
      <c r="BY359" s="128"/>
      <c r="BZ359" s="128"/>
      <c r="CA359" s="128"/>
      <c r="CB359" s="128"/>
      <c r="CC359" s="128"/>
      <c r="CD359" s="128"/>
      <c r="CE359" s="128"/>
      <c r="CF359" s="128"/>
      <c r="CG359" s="128"/>
      <c r="CH359" s="128"/>
      <c r="CI359" s="128"/>
      <c r="CJ359" s="128"/>
      <c r="CK359" s="128"/>
      <c r="CL359" s="128"/>
      <c r="CM359" s="128"/>
      <c r="CN359" s="128"/>
      <c r="CO359" s="128"/>
      <c r="CP359" s="128"/>
      <c r="CQ359" s="128"/>
      <c r="CR359" s="128"/>
      <c r="CS359" s="128"/>
      <c r="CT359" s="128"/>
      <c r="CU359" s="128"/>
    </row>
    <row r="360" spans="2:99" ht="14.5" outlineLevel="1" thickBot="1">
      <c r="F360" s="128"/>
      <c r="G360" s="128"/>
      <c r="H360" s="128"/>
      <c r="I360" s="340"/>
      <c r="J360" s="340"/>
      <c r="K360" s="340"/>
      <c r="L360" s="340"/>
      <c r="M360" s="340"/>
      <c r="N360" s="340"/>
      <c r="O360" s="340"/>
      <c r="P360" s="340"/>
      <c r="Q360" s="340"/>
      <c r="R360" s="340"/>
      <c r="S360" s="340"/>
      <c r="T360" s="340"/>
      <c r="U360" s="340"/>
      <c r="V360" s="340"/>
      <c r="W360" s="340"/>
      <c r="X360" s="340"/>
      <c r="Y360" s="340"/>
      <c r="Z360" s="340"/>
      <c r="AA360" s="340"/>
      <c r="AB360" s="340"/>
      <c r="AC360" s="340"/>
      <c r="AD360" s="340"/>
      <c r="AE360" s="340"/>
      <c r="AF360" s="340"/>
      <c r="AG360" s="340"/>
      <c r="AH360" s="128"/>
      <c r="AI360" s="128"/>
      <c r="AJ360" s="128"/>
      <c r="AK360" s="128"/>
      <c r="AL360" s="128"/>
      <c r="AM360" s="128"/>
      <c r="AN360" s="128"/>
      <c r="AO360" s="128"/>
      <c r="AP360" s="128"/>
      <c r="AQ360" s="128"/>
      <c r="AR360" s="128"/>
      <c r="AS360" s="128"/>
      <c r="AT360" s="128"/>
      <c r="AU360" s="128"/>
      <c r="AV360" s="128"/>
      <c r="AW360" s="128"/>
      <c r="AX360" s="128"/>
      <c r="AY360" s="128"/>
      <c r="AZ360" s="128"/>
      <c r="BA360" s="128"/>
      <c r="BB360" s="128"/>
      <c r="BC360" s="128"/>
      <c r="BD360" s="128"/>
      <c r="BE360" s="128"/>
      <c r="BF360" s="128"/>
      <c r="BG360" s="128"/>
      <c r="BH360" s="128"/>
      <c r="BI360" s="128"/>
      <c r="BJ360" s="128"/>
      <c r="BK360" s="128"/>
      <c r="BL360" s="128"/>
      <c r="BM360" s="128"/>
      <c r="BN360" s="128"/>
      <c r="BO360" s="128"/>
      <c r="BP360" s="128"/>
      <c r="BQ360" s="128"/>
      <c r="BR360" s="128"/>
      <c r="BS360" s="128"/>
      <c r="BT360" s="128"/>
      <c r="BU360" s="128"/>
      <c r="BV360" s="128"/>
      <c r="BW360" s="128"/>
      <c r="BX360" s="128"/>
      <c r="BY360" s="128"/>
      <c r="BZ360" s="128"/>
      <c r="CA360" s="128"/>
      <c r="CB360" s="128"/>
      <c r="CC360" s="128"/>
      <c r="CD360" s="128"/>
      <c r="CE360" s="128"/>
      <c r="CF360" s="128"/>
      <c r="CG360" s="128"/>
      <c r="CH360" s="128"/>
      <c r="CI360" s="128"/>
      <c r="CJ360" s="128"/>
      <c r="CK360" s="128"/>
      <c r="CL360" s="128"/>
      <c r="CM360" s="128"/>
      <c r="CN360" s="128"/>
      <c r="CO360" s="128"/>
      <c r="CP360" s="128"/>
      <c r="CQ360" s="128"/>
      <c r="CR360" s="128"/>
      <c r="CS360" s="128"/>
      <c r="CT360" s="128"/>
      <c r="CU360" s="128"/>
    </row>
    <row r="361" spans="2:99" ht="14.5" outlineLevel="1" thickBot="1">
      <c r="B361" s="132"/>
      <c r="C361" s="132" t="s">
        <v>450</v>
      </c>
      <c r="D361" s="133"/>
      <c r="E361" s="133"/>
      <c r="F361" s="146"/>
      <c r="G361" s="146"/>
      <c r="H361" s="146"/>
      <c r="I361" s="133"/>
      <c r="J361" s="133"/>
      <c r="K361" s="133"/>
      <c r="L361" s="133"/>
      <c r="M361" s="133"/>
      <c r="N361" s="133"/>
      <c r="O361" s="133"/>
      <c r="P361" s="133"/>
      <c r="Q361" s="133"/>
      <c r="R361" s="133"/>
      <c r="S361" s="133"/>
      <c r="T361" s="133"/>
      <c r="U361" s="133"/>
      <c r="V361" s="133"/>
      <c r="W361" s="133"/>
      <c r="X361" s="133"/>
      <c r="Y361" s="133"/>
      <c r="Z361" s="133"/>
      <c r="AA361" s="133"/>
      <c r="AB361" s="133"/>
      <c r="AC361" s="133"/>
      <c r="AD361" s="133"/>
      <c r="AE361" s="133"/>
      <c r="AF361" s="133"/>
      <c r="AG361" s="147"/>
      <c r="AH361" s="128"/>
      <c r="AI361" s="128"/>
      <c r="AJ361" s="128"/>
      <c r="AK361" s="128"/>
      <c r="AL361" s="128"/>
      <c r="AM361" s="128"/>
      <c r="AN361" s="128"/>
      <c r="AO361" s="128"/>
      <c r="AP361" s="128"/>
      <c r="AQ361" s="128"/>
      <c r="AR361" s="128"/>
      <c r="AS361" s="128"/>
      <c r="AT361" s="128"/>
      <c r="AU361" s="128"/>
      <c r="AV361" s="128"/>
      <c r="AW361" s="128"/>
      <c r="AX361" s="128"/>
      <c r="AY361" s="128"/>
      <c r="AZ361" s="128"/>
      <c r="BA361" s="128"/>
      <c r="BB361" s="128"/>
      <c r="BC361" s="128"/>
      <c r="BD361" s="128"/>
      <c r="BE361" s="128"/>
      <c r="BF361" s="128"/>
      <c r="BG361" s="128"/>
      <c r="BH361" s="128"/>
      <c r="BI361" s="128"/>
      <c r="BJ361" s="128"/>
      <c r="BK361" s="128"/>
      <c r="BL361" s="128"/>
      <c r="BM361" s="128"/>
      <c r="BN361" s="128"/>
      <c r="BO361" s="128"/>
      <c r="BP361" s="128"/>
      <c r="BQ361" s="128"/>
      <c r="BR361" s="128"/>
      <c r="BS361" s="128"/>
      <c r="BT361" s="128"/>
      <c r="BU361" s="128"/>
      <c r="BV361" s="128"/>
      <c r="BW361" s="128"/>
      <c r="BX361" s="128"/>
      <c r="BY361" s="128"/>
      <c r="BZ361" s="128"/>
      <c r="CA361" s="128"/>
      <c r="CB361" s="128"/>
      <c r="CC361" s="128"/>
      <c r="CD361" s="128"/>
      <c r="CE361" s="128"/>
      <c r="CF361" s="128"/>
      <c r="CG361" s="128"/>
      <c r="CH361" s="128"/>
      <c r="CI361" s="128"/>
      <c r="CJ361" s="128"/>
      <c r="CK361" s="128"/>
      <c r="CL361" s="128"/>
      <c r="CM361" s="128"/>
      <c r="CN361" s="128"/>
      <c r="CO361" s="128"/>
      <c r="CP361" s="128"/>
      <c r="CQ361" s="128"/>
      <c r="CR361" s="128"/>
      <c r="CS361" s="128"/>
      <c r="CT361" s="128"/>
      <c r="CU361" s="128"/>
    </row>
    <row r="362" spans="2:99" ht="14.5" outlineLevel="1" thickBot="1">
      <c r="B362" s="186"/>
      <c r="C362" s="187" t="s">
        <v>451</v>
      </c>
      <c r="D362" s="205"/>
      <c r="E362" s="205"/>
      <c r="F362" s="339"/>
      <c r="G362" s="339"/>
      <c r="H362" s="339"/>
      <c r="I362" s="150">
        <f t="shared" ref="I362:AG362" si="119">I178</f>
        <v>0</v>
      </c>
      <c r="J362" s="150">
        <f t="shared" si="119"/>
        <v>0</v>
      </c>
      <c r="K362" s="150">
        <f t="shared" si="119"/>
        <v>0</v>
      </c>
      <c r="L362" s="150">
        <f t="shared" si="119"/>
        <v>0</v>
      </c>
      <c r="M362" s="150">
        <f t="shared" si="119"/>
        <v>0</v>
      </c>
      <c r="N362" s="150">
        <f t="shared" si="119"/>
        <v>0</v>
      </c>
      <c r="O362" s="150">
        <f t="shared" si="119"/>
        <v>0</v>
      </c>
      <c r="P362" s="150">
        <f t="shared" si="119"/>
        <v>0</v>
      </c>
      <c r="Q362" s="150">
        <f t="shared" si="119"/>
        <v>0</v>
      </c>
      <c r="R362" s="150">
        <f t="shared" si="119"/>
        <v>0</v>
      </c>
      <c r="S362" s="150">
        <f t="shared" si="119"/>
        <v>0</v>
      </c>
      <c r="T362" s="150">
        <f t="shared" si="119"/>
        <v>0</v>
      </c>
      <c r="U362" s="150">
        <f t="shared" si="119"/>
        <v>0</v>
      </c>
      <c r="V362" s="150">
        <f t="shared" si="119"/>
        <v>0</v>
      </c>
      <c r="W362" s="150">
        <f t="shared" si="119"/>
        <v>0</v>
      </c>
      <c r="X362" s="150">
        <f t="shared" si="119"/>
        <v>0</v>
      </c>
      <c r="Y362" s="150">
        <f t="shared" si="119"/>
        <v>0</v>
      </c>
      <c r="Z362" s="150">
        <f t="shared" si="119"/>
        <v>0</v>
      </c>
      <c r="AA362" s="150">
        <f t="shared" si="119"/>
        <v>0</v>
      </c>
      <c r="AB362" s="150">
        <f t="shared" si="119"/>
        <v>0</v>
      </c>
      <c r="AC362" s="150">
        <f t="shared" si="119"/>
        <v>0</v>
      </c>
      <c r="AD362" s="150">
        <f t="shared" si="119"/>
        <v>0</v>
      </c>
      <c r="AE362" s="150">
        <f t="shared" si="119"/>
        <v>0</v>
      </c>
      <c r="AF362" s="150">
        <f t="shared" si="119"/>
        <v>0</v>
      </c>
      <c r="AG362" s="150">
        <f t="shared" si="119"/>
        <v>0</v>
      </c>
      <c r="AH362" s="128"/>
      <c r="AI362" s="128"/>
      <c r="AJ362" s="128"/>
      <c r="AK362" s="128"/>
      <c r="AL362" s="128"/>
      <c r="AM362" s="128"/>
      <c r="AN362" s="128"/>
      <c r="AO362" s="128"/>
      <c r="AP362" s="128"/>
      <c r="AQ362" s="128"/>
      <c r="AR362" s="128"/>
      <c r="AS362" s="128"/>
      <c r="AT362" s="128"/>
      <c r="AU362" s="128"/>
      <c r="AV362" s="128"/>
      <c r="AW362" s="128"/>
      <c r="AX362" s="128"/>
      <c r="AY362" s="128"/>
      <c r="AZ362" s="128"/>
      <c r="BA362" s="128"/>
      <c r="BB362" s="128"/>
      <c r="BC362" s="128"/>
      <c r="BD362" s="128"/>
      <c r="BE362" s="128"/>
      <c r="BF362" s="128"/>
      <c r="BG362" s="128"/>
      <c r="BH362" s="128"/>
      <c r="BI362" s="128"/>
      <c r="BJ362" s="128"/>
      <c r="BK362" s="128"/>
      <c r="BL362" s="128"/>
      <c r="BM362" s="128"/>
      <c r="BN362" s="128"/>
      <c r="BO362" s="128"/>
      <c r="BP362" s="128"/>
      <c r="BQ362" s="128"/>
      <c r="BR362" s="128"/>
      <c r="BS362" s="128"/>
      <c r="BT362" s="128"/>
      <c r="BU362" s="128"/>
      <c r="BV362" s="128"/>
      <c r="BW362" s="128"/>
      <c r="BX362" s="128"/>
      <c r="BY362" s="128"/>
      <c r="BZ362" s="128"/>
      <c r="CA362" s="128"/>
      <c r="CB362" s="128"/>
      <c r="CC362" s="128"/>
      <c r="CD362" s="128"/>
      <c r="CE362" s="128"/>
      <c r="CF362" s="128"/>
      <c r="CG362" s="128"/>
      <c r="CH362" s="128"/>
      <c r="CI362" s="128"/>
      <c r="CJ362" s="128"/>
      <c r="CK362" s="128"/>
      <c r="CL362" s="128"/>
      <c r="CM362" s="128"/>
      <c r="CN362" s="128"/>
      <c r="CO362" s="128"/>
      <c r="CP362" s="128"/>
      <c r="CQ362" s="128"/>
      <c r="CR362" s="128"/>
      <c r="CS362" s="128"/>
      <c r="CT362" s="128"/>
      <c r="CU362" s="128"/>
    </row>
    <row r="363" spans="2:99" ht="14.5" outlineLevel="1" thickBot="1">
      <c r="B363" s="186"/>
      <c r="C363" s="187" t="s">
        <v>360</v>
      </c>
      <c r="D363" s="205"/>
      <c r="E363" s="205"/>
      <c r="F363" s="339"/>
      <c r="G363" s="339"/>
      <c r="H363" s="339"/>
      <c r="I363" s="150">
        <f t="shared" ref="I363:AG363" si="120">I186</f>
        <v>6630</v>
      </c>
      <c r="J363" s="150">
        <f t="shared" si="120"/>
        <v>6762.6</v>
      </c>
      <c r="K363" s="150">
        <f t="shared" si="120"/>
        <v>6897.8520000000008</v>
      </c>
      <c r="L363" s="150">
        <f t="shared" si="120"/>
        <v>7035.809040000001</v>
      </c>
      <c r="M363" s="150">
        <f t="shared" si="120"/>
        <v>7176.5252208000011</v>
      </c>
      <c r="N363" s="150">
        <f t="shared" si="120"/>
        <v>7320.0557252160015</v>
      </c>
      <c r="O363" s="150">
        <f t="shared" si="120"/>
        <v>7466.456839720322</v>
      </c>
      <c r="P363" s="150">
        <f t="shared" si="120"/>
        <v>7615.7859765147286</v>
      </c>
      <c r="Q363" s="150">
        <f t="shared" si="120"/>
        <v>7768.1016960450233</v>
      </c>
      <c r="R363" s="150">
        <f t="shared" si="120"/>
        <v>7923.4637299659244</v>
      </c>
      <c r="S363" s="150">
        <f t="shared" si="120"/>
        <v>8081.9330045652432</v>
      </c>
      <c r="T363" s="150">
        <f t="shared" si="120"/>
        <v>8243.5716646565488</v>
      </c>
      <c r="U363" s="150">
        <f t="shared" si="120"/>
        <v>8408.4430979496792</v>
      </c>
      <c r="V363" s="150">
        <f t="shared" si="120"/>
        <v>8576.6119599086724</v>
      </c>
      <c r="W363" s="150">
        <f t="shared" si="120"/>
        <v>8748.1441991068459</v>
      </c>
      <c r="X363" s="150">
        <f t="shared" si="120"/>
        <v>8923.1070830889821</v>
      </c>
      <c r="Y363" s="150">
        <f t="shared" si="120"/>
        <v>9101.5692247507614</v>
      </c>
      <c r="Z363" s="150">
        <f t="shared" si="120"/>
        <v>9283.6006092457774</v>
      </c>
      <c r="AA363" s="150">
        <f t="shared" si="120"/>
        <v>9469.2726214306931</v>
      </c>
      <c r="AB363" s="150">
        <f t="shared" si="120"/>
        <v>9658.6580738593075</v>
      </c>
      <c r="AC363" s="150">
        <f t="shared" si="120"/>
        <v>9851.8312353364945</v>
      </c>
      <c r="AD363" s="150">
        <f t="shared" si="120"/>
        <v>10048.867860043225</v>
      </c>
      <c r="AE363" s="150">
        <f t="shared" si="120"/>
        <v>10249.84521724409</v>
      </c>
      <c r="AF363" s="150">
        <f t="shared" si="120"/>
        <v>10454.842121588972</v>
      </c>
      <c r="AG363" s="150">
        <f t="shared" si="120"/>
        <v>10663.938964020752</v>
      </c>
      <c r="AH363" s="128"/>
      <c r="AI363" s="128"/>
      <c r="AJ363" s="128"/>
      <c r="AK363" s="128"/>
      <c r="AL363" s="128"/>
      <c r="AM363" s="128"/>
      <c r="AN363" s="128"/>
      <c r="AO363" s="128"/>
      <c r="AP363" s="128"/>
      <c r="AQ363" s="128"/>
      <c r="AR363" s="128"/>
      <c r="AS363" s="128"/>
      <c r="AT363" s="128"/>
      <c r="AU363" s="128"/>
      <c r="AV363" s="128"/>
      <c r="AW363" s="128"/>
      <c r="AX363" s="128"/>
      <c r="AY363" s="128"/>
      <c r="AZ363" s="128"/>
      <c r="BA363" s="128"/>
      <c r="BB363" s="128"/>
      <c r="BC363" s="128"/>
      <c r="BD363" s="128"/>
      <c r="BE363" s="128"/>
      <c r="BF363" s="128"/>
      <c r="BG363" s="128"/>
      <c r="BH363" s="128"/>
      <c r="BI363" s="128"/>
      <c r="BJ363" s="128"/>
      <c r="BK363" s="128"/>
      <c r="BL363" s="128"/>
      <c r="BM363" s="128"/>
      <c r="BN363" s="128"/>
      <c r="BO363" s="128"/>
      <c r="BP363" s="128"/>
      <c r="BQ363" s="128"/>
      <c r="BR363" s="128"/>
      <c r="BS363" s="128"/>
      <c r="BT363" s="128"/>
      <c r="BU363" s="128"/>
      <c r="BV363" s="128"/>
      <c r="BW363" s="128"/>
      <c r="BX363" s="128"/>
      <c r="BY363" s="128"/>
      <c r="BZ363" s="128"/>
      <c r="CA363" s="128"/>
      <c r="CB363" s="128"/>
      <c r="CC363" s="128"/>
      <c r="CD363" s="128"/>
      <c r="CE363" s="128"/>
      <c r="CF363" s="128"/>
      <c r="CG363" s="128"/>
      <c r="CH363" s="128"/>
      <c r="CI363" s="128"/>
      <c r="CJ363" s="128"/>
      <c r="CK363" s="128"/>
      <c r="CL363" s="128"/>
      <c r="CM363" s="128"/>
      <c r="CN363" s="128"/>
      <c r="CO363" s="128"/>
      <c r="CP363" s="128"/>
      <c r="CQ363" s="128"/>
      <c r="CR363" s="128"/>
      <c r="CS363" s="128"/>
      <c r="CT363" s="128"/>
      <c r="CU363" s="128"/>
    </row>
    <row r="364" spans="2:99" ht="14.5" outlineLevel="1" thickBot="1">
      <c r="B364" s="186"/>
      <c r="C364" s="187" t="s">
        <v>452</v>
      </c>
      <c r="D364" s="205"/>
      <c r="E364" s="205"/>
      <c r="F364" s="339"/>
      <c r="G364" s="339"/>
      <c r="H364" s="339"/>
      <c r="I364" s="150">
        <f t="shared" ref="I364:AG364" si="121">I193</f>
        <v>0</v>
      </c>
      <c r="J364" s="150">
        <f t="shared" si="121"/>
        <v>0</v>
      </c>
      <c r="K364" s="150">
        <f t="shared" si="121"/>
        <v>0</v>
      </c>
      <c r="L364" s="150">
        <f t="shared" si="121"/>
        <v>0</v>
      </c>
      <c r="M364" s="150">
        <f t="shared" si="121"/>
        <v>0</v>
      </c>
      <c r="N364" s="150">
        <f t="shared" si="121"/>
        <v>0</v>
      </c>
      <c r="O364" s="150">
        <f t="shared" si="121"/>
        <v>0</v>
      </c>
      <c r="P364" s="150">
        <f t="shared" si="121"/>
        <v>0</v>
      </c>
      <c r="Q364" s="150">
        <f t="shared" si="121"/>
        <v>0</v>
      </c>
      <c r="R364" s="150">
        <f t="shared" si="121"/>
        <v>0</v>
      </c>
      <c r="S364" s="150">
        <f t="shared" si="121"/>
        <v>0</v>
      </c>
      <c r="T364" s="150">
        <f t="shared" si="121"/>
        <v>0</v>
      </c>
      <c r="U364" s="150">
        <f t="shared" si="121"/>
        <v>0</v>
      </c>
      <c r="V364" s="150">
        <f t="shared" si="121"/>
        <v>0</v>
      </c>
      <c r="W364" s="150">
        <f t="shared" si="121"/>
        <v>0</v>
      </c>
      <c r="X364" s="150">
        <f t="shared" si="121"/>
        <v>0</v>
      </c>
      <c r="Y364" s="150">
        <f t="shared" si="121"/>
        <v>0</v>
      </c>
      <c r="Z364" s="150">
        <f t="shared" si="121"/>
        <v>0</v>
      </c>
      <c r="AA364" s="150">
        <f t="shared" si="121"/>
        <v>0</v>
      </c>
      <c r="AB364" s="150">
        <f t="shared" si="121"/>
        <v>0</v>
      </c>
      <c r="AC364" s="150">
        <f t="shared" si="121"/>
        <v>0</v>
      </c>
      <c r="AD364" s="150">
        <f t="shared" si="121"/>
        <v>0</v>
      </c>
      <c r="AE364" s="150">
        <f t="shared" si="121"/>
        <v>0</v>
      </c>
      <c r="AF364" s="150">
        <f t="shared" si="121"/>
        <v>0</v>
      </c>
      <c r="AG364" s="150">
        <f t="shared" si="121"/>
        <v>0</v>
      </c>
      <c r="AH364" s="128"/>
      <c r="AI364" s="128"/>
      <c r="AJ364" s="128"/>
      <c r="AK364" s="128"/>
      <c r="AL364" s="128"/>
      <c r="AM364" s="128"/>
      <c r="AN364" s="128"/>
      <c r="AO364" s="128"/>
      <c r="AP364" s="128"/>
      <c r="AQ364" s="128"/>
      <c r="AR364" s="128"/>
      <c r="AS364" s="128"/>
      <c r="AT364" s="128"/>
      <c r="AU364" s="128"/>
      <c r="AV364" s="128"/>
      <c r="AW364" s="128"/>
      <c r="AX364" s="128"/>
      <c r="AY364" s="128"/>
      <c r="AZ364" s="128"/>
      <c r="BA364" s="128"/>
      <c r="BB364" s="128"/>
      <c r="BC364" s="128"/>
      <c r="BD364" s="128"/>
      <c r="BE364" s="128"/>
      <c r="BF364" s="128"/>
      <c r="BG364" s="128"/>
      <c r="BH364" s="128"/>
      <c r="BI364" s="128"/>
      <c r="BJ364" s="128"/>
      <c r="BK364" s="128"/>
      <c r="BL364" s="128"/>
      <c r="BM364" s="128"/>
      <c r="BN364" s="128"/>
      <c r="BO364" s="128"/>
      <c r="BP364" s="128"/>
      <c r="BQ364" s="128"/>
      <c r="BR364" s="128"/>
      <c r="BS364" s="128"/>
      <c r="BT364" s="128"/>
      <c r="BU364" s="128"/>
      <c r="BV364" s="128"/>
      <c r="BW364" s="128"/>
      <c r="BX364" s="128"/>
      <c r="BY364" s="128"/>
      <c r="BZ364" s="128"/>
      <c r="CA364" s="128"/>
      <c r="CB364" s="128"/>
      <c r="CC364" s="128"/>
      <c r="CD364" s="128"/>
      <c r="CE364" s="128"/>
      <c r="CF364" s="128"/>
      <c r="CG364" s="128"/>
      <c r="CH364" s="128"/>
      <c r="CI364" s="128"/>
      <c r="CJ364" s="128"/>
      <c r="CK364" s="128"/>
      <c r="CL364" s="128"/>
      <c r="CM364" s="128"/>
      <c r="CN364" s="128"/>
      <c r="CO364" s="128"/>
      <c r="CP364" s="128"/>
      <c r="CQ364" s="128"/>
      <c r="CR364" s="128"/>
      <c r="CS364" s="128"/>
      <c r="CT364" s="128"/>
      <c r="CU364" s="128"/>
    </row>
    <row r="365" spans="2:99" ht="15" outlineLevel="1" thickTop="1" thickBot="1">
      <c r="B365" s="292"/>
      <c r="C365" s="293" t="s">
        <v>453</v>
      </c>
      <c r="D365" s="294"/>
      <c r="E365" s="294"/>
      <c r="F365" s="341"/>
      <c r="G365" s="341"/>
      <c r="H365" s="342"/>
      <c r="I365" s="271">
        <f>SUM(I362:I364)</f>
        <v>6630</v>
      </c>
      <c r="J365" s="271">
        <f t="shared" ref="J365:AG365" si="122">SUM(J362:J364)</f>
        <v>6762.6</v>
      </c>
      <c r="K365" s="271">
        <f t="shared" si="122"/>
        <v>6897.8520000000008</v>
      </c>
      <c r="L365" s="271">
        <f t="shared" si="122"/>
        <v>7035.809040000001</v>
      </c>
      <c r="M365" s="271">
        <f t="shared" si="122"/>
        <v>7176.5252208000011</v>
      </c>
      <c r="N365" s="271">
        <f t="shared" si="122"/>
        <v>7320.0557252160015</v>
      </c>
      <c r="O365" s="271">
        <f t="shared" si="122"/>
        <v>7466.456839720322</v>
      </c>
      <c r="P365" s="271">
        <f t="shared" si="122"/>
        <v>7615.7859765147286</v>
      </c>
      <c r="Q365" s="271">
        <f t="shared" si="122"/>
        <v>7768.1016960450233</v>
      </c>
      <c r="R365" s="271">
        <f t="shared" si="122"/>
        <v>7923.4637299659244</v>
      </c>
      <c r="S365" s="271">
        <f t="shared" si="122"/>
        <v>8081.9330045652432</v>
      </c>
      <c r="T365" s="271">
        <f t="shared" si="122"/>
        <v>8243.5716646565488</v>
      </c>
      <c r="U365" s="271">
        <f t="shared" si="122"/>
        <v>8408.4430979496792</v>
      </c>
      <c r="V365" s="271">
        <f t="shared" si="122"/>
        <v>8576.6119599086724</v>
      </c>
      <c r="W365" s="271">
        <f t="shared" si="122"/>
        <v>8748.1441991068459</v>
      </c>
      <c r="X365" s="271">
        <f t="shared" si="122"/>
        <v>8923.1070830889821</v>
      </c>
      <c r="Y365" s="271">
        <f t="shared" si="122"/>
        <v>9101.5692247507614</v>
      </c>
      <c r="Z365" s="271">
        <f t="shared" si="122"/>
        <v>9283.6006092457774</v>
      </c>
      <c r="AA365" s="271">
        <f t="shared" si="122"/>
        <v>9469.2726214306931</v>
      </c>
      <c r="AB365" s="271">
        <f t="shared" si="122"/>
        <v>9658.6580738593075</v>
      </c>
      <c r="AC365" s="271">
        <f t="shared" si="122"/>
        <v>9851.8312353364945</v>
      </c>
      <c r="AD365" s="271">
        <f t="shared" si="122"/>
        <v>10048.867860043225</v>
      </c>
      <c r="AE365" s="271">
        <f t="shared" si="122"/>
        <v>10249.84521724409</v>
      </c>
      <c r="AF365" s="271">
        <f t="shared" si="122"/>
        <v>10454.842121588972</v>
      </c>
      <c r="AG365" s="271">
        <f t="shared" si="122"/>
        <v>10663.938964020752</v>
      </c>
      <c r="AH365" s="128"/>
      <c r="AI365" s="128"/>
      <c r="AJ365" s="128"/>
      <c r="AK365" s="128"/>
      <c r="AL365" s="128"/>
      <c r="AM365" s="128"/>
      <c r="AN365" s="128"/>
      <c r="AO365" s="128"/>
      <c r="AP365" s="128"/>
      <c r="AQ365" s="128"/>
      <c r="AR365" s="128"/>
      <c r="AS365" s="128"/>
      <c r="AT365" s="128"/>
      <c r="AU365" s="128"/>
      <c r="AV365" s="128"/>
      <c r="AW365" s="128"/>
      <c r="AX365" s="128"/>
      <c r="AY365" s="128"/>
      <c r="AZ365" s="128"/>
      <c r="BA365" s="128"/>
      <c r="BB365" s="128"/>
      <c r="BC365" s="128"/>
      <c r="BD365" s="128"/>
      <c r="BE365" s="128"/>
      <c r="BF365" s="128"/>
      <c r="BG365" s="128"/>
      <c r="BH365" s="128"/>
      <c r="BI365" s="128"/>
      <c r="BJ365" s="128"/>
      <c r="BK365" s="128"/>
      <c r="BL365" s="128"/>
      <c r="BM365" s="128"/>
      <c r="BN365" s="128"/>
      <c r="BO365" s="128"/>
      <c r="BP365" s="128"/>
      <c r="BQ365" s="128"/>
      <c r="BR365" s="128"/>
      <c r="BS365" s="128"/>
      <c r="BT365" s="128"/>
      <c r="BU365" s="128"/>
      <c r="BV365" s="128"/>
      <c r="BW365" s="128"/>
      <c r="BX365" s="128"/>
      <c r="BY365" s="128"/>
      <c r="BZ365" s="128"/>
      <c r="CA365" s="128"/>
      <c r="CB365" s="128"/>
      <c r="CC365" s="128"/>
      <c r="CD365" s="128"/>
      <c r="CE365" s="128"/>
      <c r="CF365" s="128"/>
      <c r="CG365" s="128"/>
      <c r="CH365" s="128"/>
      <c r="CI365" s="128"/>
      <c r="CJ365" s="128"/>
      <c r="CK365" s="128"/>
      <c r="CL365" s="128"/>
      <c r="CM365" s="128"/>
      <c r="CN365" s="128"/>
      <c r="CO365" s="128"/>
      <c r="CP365" s="128"/>
      <c r="CQ365" s="128"/>
      <c r="CR365" s="128"/>
      <c r="CS365" s="128"/>
      <c r="CT365" s="128"/>
      <c r="CU365" s="128"/>
    </row>
    <row r="366" spans="2:99" ht="15" outlineLevel="1" thickTop="1" thickBot="1">
      <c r="C366" s="217"/>
      <c r="D366" s="343"/>
      <c r="E366" s="219"/>
      <c r="F366" s="344"/>
      <c r="G366" s="219"/>
      <c r="H366" s="345"/>
      <c r="I366" s="345"/>
      <c r="J366" s="345"/>
      <c r="K366" s="345"/>
      <c r="L366" s="345"/>
      <c r="M366" s="345"/>
      <c r="N366" s="345"/>
      <c r="O366" s="345"/>
      <c r="P366" s="345"/>
      <c r="Q366" s="345"/>
      <c r="R366" s="345"/>
      <c r="S366" s="345"/>
      <c r="T366" s="345"/>
      <c r="U366" s="345"/>
      <c r="V366" s="345"/>
      <c r="W366" s="345"/>
      <c r="X366" s="345"/>
      <c r="Y366" s="345"/>
      <c r="Z366" s="345"/>
      <c r="AA366" s="345"/>
      <c r="AB366" s="345"/>
      <c r="AC366" s="345"/>
      <c r="AD366" s="345"/>
      <c r="AE366" s="345"/>
      <c r="AF366" s="345"/>
      <c r="AG366" s="345"/>
      <c r="AH366" s="128"/>
      <c r="AI366" s="128"/>
      <c r="AJ366" s="128"/>
      <c r="AK366" s="128"/>
      <c r="AL366" s="128"/>
      <c r="AM366" s="128"/>
      <c r="AN366" s="128"/>
      <c r="AO366" s="128"/>
      <c r="AP366" s="128"/>
      <c r="AQ366" s="128"/>
      <c r="AR366" s="128"/>
      <c r="AS366" s="128"/>
      <c r="AT366" s="128"/>
      <c r="AU366" s="128"/>
      <c r="AV366" s="128"/>
      <c r="AW366" s="128"/>
      <c r="AX366" s="128"/>
      <c r="AY366" s="128"/>
      <c r="AZ366" s="128"/>
      <c r="BA366" s="128"/>
      <c r="BB366" s="128"/>
      <c r="BC366" s="128"/>
      <c r="BD366" s="128"/>
      <c r="BE366" s="128"/>
      <c r="BF366" s="128"/>
      <c r="BG366" s="128"/>
      <c r="BH366" s="128"/>
      <c r="BI366" s="128"/>
      <c r="BJ366" s="128"/>
      <c r="BK366" s="128"/>
      <c r="BL366" s="128"/>
      <c r="BM366" s="128"/>
      <c r="BN366" s="128"/>
      <c r="BO366" s="128"/>
      <c r="BP366" s="128"/>
      <c r="BQ366" s="128"/>
      <c r="BR366" s="128"/>
      <c r="BS366" s="128"/>
      <c r="BT366" s="128"/>
      <c r="BU366" s="128"/>
      <c r="BV366" s="128"/>
      <c r="BW366" s="128"/>
      <c r="BX366" s="128"/>
      <c r="BY366" s="128"/>
      <c r="BZ366" s="128"/>
      <c r="CA366" s="128"/>
      <c r="CB366" s="128"/>
      <c r="CC366" s="128"/>
      <c r="CD366" s="128"/>
      <c r="CE366" s="128"/>
      <c r="CF366" s="128"/>
      <c r="CG366" s="128"/>
      <c r="CH366" s="128"/>
      <c r="CI366" s="128"/>
      <c r="CJ366" s="128"/>
      <c r="CK366" s="128"/>
      <c r="CL366" s="128"/>
      <c r="CM366" s="128"/>
      <c r="CN366" s="128"/>
      <c r="CO366" s="128"/>
      <c r="CP366" s="128"/>
      <c r="CQ366" s="128"/>
      <c r="CR366" s="128"/>
      <c r="CS366" s="128"/>
      <c r="CT366" s="128"/>
      <c r="CU366" s="128"/>
    </row>
    <row r="367" spans="2:99" ht="14.5" outlineLevel="1" thickBot="1">
      <c r="B367" s="186"/>
      <c r="C367" s="173" t="s">
        <v>454</v>
      </c>
      <c r="D367" s="174"/>
      <c r="E367" s="174"/>
      <c r="F367" s="175"/>
      <c r="G367" s="175"/>
      <c r="H367" s="271">
        <f t="shared" ref="H367:AG367" si="123">IFERROR(H359-H365,"")</f>
        <v>0</v>
      </c>
      <c r="I367" s="271">
        <f>IFERROR(I359-I365,"")</f>
        <v>2178.797372876561</v>
      </c>
      <c r="J367" s="271">
        <f t="shared" si="123"/>
        <v>1993.3445886364025</v>
      </c>
      <c r="K367" s="271">
        <f t="shared" si="123"/>
        <v>1805.5569211034581</v>
      </c>
      <c r="L367" s="271">
        <f t="shared" si="123"/>
        <v>1615.3794275780701</v>
      </c>
      <c r="M367" s="271">
        <f t="shared" si="123"/>
        <v>1422.7561159719962</v>
      </c>
      <c r="N367" s="271">
        <f t="shared" si="123"/>
        <v>1227.6299235347578</v>
      </c>
      <c r="O367" s="271">
        <f t="shared" si="123"/>
        <v>1029.9426951363184</v>
      </c>
      <c r="P367" s="271">
        <f t="shared" si="123"/>
        <v>829.63516113165042</v>
      </c>
      <c r="Q367" s="271">
        <f t="shared" si="123"/>
        <v>626.64691477486303</v>
      </c>
      <c r="R367" s="271">
        <f t="shared" si="123"/>
        <v>420.91638918842727</v>
      </c>
      <c r="S367" s="271">
        <f t="shared" si="123"/>
        <v>212.38083387356619</v>
      </c>
      <c r="T367" s="271">
        <f t="shared" si="123"/>
        <v>0.97629075101394847</v>
      </c>
      <c r="U367" s="271">
        <f t="shared" si="123"/>
        <v>-213.36243027517776</v>
      </c>
      <c r="V367" s="271">
        <f t="shared" si="123"/>
        <v>-430.70177624083226</v>
      </c>
      <c r="W367" s="271">
        <f t="shared" si="123"/>
        <v>-651.10947654162828</v>
      </c>
      <c r="X367" s="271">
        <f t="shared" si="123"/>
        <v>-874.65456875728978</v>
      </c>
      <c r="Y367" s="271">
        <f t="shared" si="123"/>
        <v>-1101.40742550506</v>
      </c>
      <c r="Z367" s="271">
        <f t="shared" si="123"/>
        <v>-1331.4397807955502</v>
      </c>
      <c r="AA367" s="271">
        <f t="shared" si="123"/>
        <v>-1564.8247579511672</v>
      </c>
      <c r="AB367" s="271">
        <f t="shared" si="123"/>
        <v>-1801.6368975606583</v>
      </c>
      <c r="AC367" s="271">
        <f t="shared" si="123"/>
        <v>-2041.9521860956374</v>
      </c>
      <c r="AD367" s="271">
        <f t="shared" si="123"/>
        <v>-2285.8480850978131</v>
      </c>
      <c r="AE367" s="271">
        <f t="shared" si="123"/>
        <v>-3536.5409762667969</v>
      </c>
      <c r="AF367" s="271">
        <f t="shared" si="123"/>
        <v>-3781.8177060575426</v>
      </c>
      <c r="AG367" s="271">
        <f t="shared" si="123"/>
        <v>-4030.9526949825113</v>
      </c>
      <c r="AH367" s="128"/>
      <c r="AI367" s="128"/>
      <c r="AJ367" s="128"/>
      <c r="AK367" s="128"/>
      <c r="AL367" s="128"/>
      <c r="AM367" s="128"/>
      <c r="AN367" s="128"/>
      <c r="AO367" s="128"/>
      <c r="AP367" s="128"/>
      <c r="AQ367" s="128"/>
      <c r="AR367" s="128"/>
      <c r="AS367" s="128"/>
      <c r="AT367" s="128"/>
      <c r="AU367" s="128"/>
      <c r="AV367" s="128"/>
      <c r="AW367" s="128"/>
      <c r="AX367" s="128"/>
      <c r="AY367" s="128"/>
      <c r="AZ367" s="128"/>
      <c r="BA367" s="128"/>
      <c r="BB367" s="128"/>
      <c r="BC367" s="128"/>
      <c r="BD367" s="128"/>
      <c r="BE367" s="128"/>
      <c r="BF367" s="128"/>
      <c r="BG367" s="128"/>
      <c r="BH367" s="128"/>
      <c r="BI367" s="128"/>
      <c r="BJ367" s="128"/>
      <c r="BK367" s="128"/>
      <c r="BL367" s="128"/>
      <c r="BM367" s="128"/>
      <c r="BN367" s="128"/>
      <c r="BO367" s="128"/>
      <c r="BP367" s="128"/>
      <c r="BQ367" s="128"/>
      <c r="BR367" s="128"/>
      <c r="BS367" s="128"/>
      <c r="BT367" s="128"/>
      <c r="BU367" s="128"/>
      <c r="BV367" s="128"/>
      <c r="BW367" s="128"/>
      <c r="BX367" s="128"/>
      <c r="BY367" s="128"/>
      <c r="BZ367" s="128"/>
      <c r="CA367" s="128"/>
      <c r="CB367" s="128"/>
      <c r="CC367" s="128"/>
      <c r="CD367" s="128"/>
      <c r="CE367" s="128"/>
      <c r="CF367" s="128"/>
      <c r="CG367" s="128"/>
      <c r="CH367" s="128"/>
      <c r="CI367" s="128"/>
      <c r="CJ367" s="128"/>
      <c r="CK367" s="128"/>
      <c r="CL367" s="128"/>
      <c r="CM367" s="128"/>
      <c r="CN367" s="128"/>
      <c r="CO367" s="128"/>
      <c r="CP367" s="128"/>
      <c r="CQ367" s="128"/>
      <c r="CR367" s="128"/>
      <c r="CS367" s="128"/>
      <c r="CT367" s="128"/>
      <c r="CU367" s="128"/>
    </row>
    <row r="368" spans="2:99" ht="14.5" outlineLevel="1" thickBot="1">
      <c r="F368" s="128"/>
      <c r="I368" s="340"/>
      <c r="J368" s="340"/>
      <c r="K368" s="340"/>
      <c r="L368" s="340"/>
      <c r="M368" s="340"/>
      <c r="N368" s="340"/>
      <c r="O368" s="340"/>
      <c r="P368" s="340"/>
      <c r="Q368" s="340"/>
      <c r="R368" s="340"/>
      <c r="S368" s="340"/>
      <c r="T368" s="340"/>
      <c r="U368" s="340"/>
      <c r="V368" s="340"/>
      <c r="W368" s="340"/>
      <c r="X368" s="340"/>
      <c r="Y368" s="340"/>
      <c r="Z368" s="340"/>
      <c r="AA368" s="340"/>
      <c r="AB368" s="340"/>
      <c r="AC368" s="340"/>
      <c r="AD368" s="340"/>
      <c r="AE368" s="340"/>
      <c r="AF368" s="340"/>
      <c r="AG368" s="340"/>
      <c r="AH368" s="128"/>
      <c r="AI368" s="128"/>
      <c r="AJ368" s="128"/>
      <c r="AK368" s="128"/>
      <c r="AL368" s="128"/>
      <c r="AM368" s="128"/>
      <c r="AN368" s="128"/>
      <c r="AO368" s="128"/>
      <c r="AP368" s="128"/>
      <c r="AQ368" s="128"/>
      <c r="AR368" s="128"/>
      <c r="AS368" s="128"/>
      <c r="AT368" s="128"/>
      <c r="AU368" s="128"/>
      <c r="AV368" s="128"/>
      <c r="AW368" s="128"/>
      <c r="AX368" s="128"/>
      <c r="AY368" s="128"/>
      <c r="AZ368" s="128"/>
      <c r="BA368" s="128"/>
      <c r="BB368" s="128"/>
      <c r="BC368" s="128"/>
      <c r="BD368" s="128"/>
      <c r="BE368" s="128"/>
      <c r="BF368" s="128"/>
      <c r="BG368" s="128"/>
      <c r="BH368" s="128"/>
      <c r="BI368" s="128"/>
      <c r="BJ368" s="128"/>
      <c r="BK368" s="128"/>
      <c r="BL368" s="128"/>
      <c r="BM368" s="128"/>
      <c r="BN368" s="128"/>
      <c r="BO368" s="128"/>
      <c r="BP368" s="128"/>
      <c r="BQ368" s="128"/>
      <c r="BR368" s="128"/>
      <c r="BS368" s="128"/>
      <c r="BT368" s="128"/>
      <c r="BU368" s="128"/>
      <c r="BV368" s="128"/>
      <c r="BW368" s="128"/>
      <c r="BX368" s="128"/>
      <c r="BY368" s="128"/>
      <c r="BZ368" s="128"/>
      <c r="CA368" s="128"/>
      <c r="CB368" s="128"/>
      <c r="CC368" s="128"/>
      <c r="CD368" s="128"/>
      <c r="CE368" s="128"/>
      <c r="CF368" s="128"/>
      <c r="CG368" s="128"/>
      <c r="CH368" s="128"/>
      <c r="CI368" s="128"/>
      <c r="CJ368" s="128"/>
      <c r="CK368" s="128"/>
      <c r="CL368" s="128"/>
      <c r="CM368" s="128"/>
      <c r="CN368" s="128"/>
      <c r="CO368" s="128"/>
      <c r="CP368" s="128"/>
      <c r="CQ368" s="128"/>
      <c r="CR368" s="128"/>
      <c r="CS368" s="128"/>
      <c r="CT368" s="128"/>
      <c r="CU368" s="128"/>
    </row>
    <row r="369" spans="1:99" ht="14.5" outlineLevel="1" thickBot="1">
      <c r="B369" s="132"/>
      <c r="C369" s="132" t="s">
        <v>455</v>
      </c>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47"/>
      <c r="AH369" s="128"/>
      <c r="AI369" s="128"/>
      <c r="AJ369" s="128"/>
      <c r="AK369" s="128"/>
      <c r="AL369" s="128"/>
      <c r="AM369" s="128"/>
      <c r="AN369" s="128"/>
      <c r="AO369" s="128"/>
      <c r="AP369" s="128"/>
      <c r="AQ369" s="128"/>
      <c r="AR369" s="128"/>
      <c r="AS369" s="128"/>
      <c r="AT369" s="128"/>
      <c r="AU369" s="128"/>
      <c r="AV369" s="128"/>
      <c r="AW369" s="128"/>
      <c r="AX369" s="128"/>
      <c r="AY369" s="128"/>
      <c r="AZ369" s="128"/>
      <c r="BA369" s="128"/>
      <c r="BB369" s="128"/>
      <c r="BC369" s="128"/>
      <c r="BD369" s="128"/>
      <c r="BE369" s="128"/>
      <c r="BF369" s="128"/>
      <c r="BG369" s="128"/>
      <c r="BH369" s="128"/>
      <c r="BI369" s="128"/>
      <c r="BJ369" s="128"/>
      <c r="BK369" s="128"/>
      <c r="BL369" s="128"/>
      <c r="BM369" s="128"/>
      <c r="BN369" s="128"/>
      <c r="BO369" s="128"/>
      <c r="BP369" s="128"/>
      <c r="BQ369" s="128"/>
      <c r="BR369" s="128"/>
      <c r="BS369" s="128"/>
      <c r="BT369" s="128"/>
      <c r="BU369" s="128"/>
      <c r="BV369" s="128"/>
      <c r="BW369" s="128"/>
      <c r="BX369" s="128"/>
      <c r="BY369" s="128"/>
      <c r="BZ369" s="128"/>
      <c r="CA369" s="128"/>
      <c r="CB369" s="128"/>
      <c r="CC369" s="128"/>
      <c r="CD369" s="128"/>
      <c r="CE369" s="128"/>
      <c r="CF369" s="128"/>
      <c r="CG369" s="128"/>
      <c r="CH369" s="128"/>
      <c r="CI369" s="128"/>
      <c r="CJ369" s="128"/>
      <c r="CK369" s="128"/>
      <c r="CL369" s="128"/>
      <c r="CM369" s="128"/>
      <c r="CN369" s="128"/>
      <c r="CO369" s="128"/>
      <c r="CP369" s="128"/>
      <c r="CQ369" s="128"/>
      <c r="CR369" s="128"/>
      <c r="CS369" s="128"/>
      <c r="CT369" s="128"/>
      <c r="CU369" s="128"/>
    </row>
    <row r="370" spans="1:99" s="160" customFormat="1" ht="13" outlineLevel="1" thickBot="1">
      <c r="B370" s="186"/>
      <c r="C370" s="187" t="s">
        <v>297</v>
      </c>
      <c r="D370" s="205"/>
      <c r="E370" s="205"/>
      <c r="F370" s="339"/>
      <c r="G370" s="339"/>
      <c r="H370" s="339"/>
      <c r="I370" s="150">
        <f t="shared" ref="I370:AG370" si="124">SUM(I283:I289)</f>
        <v>2623.1513699633697</v>
      </c>
      <c r="J370" s="150">
        <f t="shared" si="124"/>
        <v>2623.1513699633697</v>
      </c>
      <c r="K370" s="150">
        <f t="shared" si="124"/>
        <v>2623.1513699633697</v>
      </c>
      <c r="L370" s="150">
        <f t="shared" si="124"/>
        <v>2623.1513699633697</v>
      </c>
      <c r="M370" s="150">
        <f t="shared" si="124"/>
        <v>2623.1513699633697</v>
      </c>
      <c r="N370" s="150">
        <f t="shared" si="124"/>
        <v>2623.1513699633697</v>
      </c>
      <c r="O370" s="150">
        <f t="shared" si="124"/>
        <v>2623.1513699633697</v>
      </c>
      <c r="P370" s="150">
        <f t="shared" si="124"/>
        <v>2623.1513699633697</v>
      </c>
      <c r="Q370" s="150">
        <f t="shared" si="124"/>
        <v>2623.1513699633697</v>
      </c>
      <c r="R370" s="150">
        <f t="shared" si="124"/>
        <v>2623.1513699633697</v>
      </c>
      <c r="S370" s="150">
        <f t="shared" si="124"/>
        <v>2623.1513699633697</v>
      </c>
      <c r="T370" s="150">
        <f t="shared" si="124"/>
        <v>2623.1513699633697</v>
      </c>
      <c r="U370" s="150">
        <f t="shared" si="124"/>
        <v>2623.1513699633697</v>
      </c>
      <c r="V370" s="150">
        <f t="shared" si="124"/>
        <v>2623.1513699633697</v>
      </c>
      <c r="W370" s="150">
        <f t="shared" si="124"/>
        <v>2623.1513699633697</v>
      </c>
      <c r="X370" s="150">
        <f t="shared" si="124"/>
        <v>1906.3471274314118</v>
      </c>
      <c r="Y370" s="150">
        <f t="shared" si="124"/>
        <v>1906.3471274314118</v>
      </c>
      <c r="Z370" s="150">
        <f t="shared" si="124"/>
        <v>1906.3471274314118</v>
      </c>
      <c r="AA370" s="150">
        <f t="shared" si="124"/>
        <v>1906.3471274314118</v>
      </c>
      <c r="AB370" s="150">
        <f t="shared" si="124"/>
        <v>1906.3471274314118</v>
      </c>
      <c r="AC370" s="150">
        <f t="shared" si="124"/>
        <v>1906.3471274314118</v>
      </c>
      <c r="AD370" s="150">
        <f t="shared" si="124"/>
        <v>1906.3471274314118</v>
      </c>
      <c r="AE370" s="150">
        <f t="shared" si="124"/>
        <v>1906.3471274314118</v>
      </c>
      <c r="AF370" s="150">
        <f t="shared" si="124"/>
        <v>1906.3471274314118</v>
      </c>
      <c r="AG370" s="150">
        <f t="shared" si="124"/>
        <v>1906.3471274314118</v>
      </c>
      <c r="AH370" s="179"/>
      <c r="AI370" s="179"/>
      <c r="AJ370" s="179"/>
      <c r="AK370" s="179"/>
      <c r="AL370" s="179"/>
      <c r="AM370" s="179"/>
      <c r="AN370" s="179"/>
      <c r="AO370" s="179"/>
      <c r="AP370" s="179"/>
      <c r="AQ370" s="179"/>
      <c r="AR370" s="179"/>
      <c r="AS370" s="179"/>
      <c r="AT370" s="179"/>
      <c r="AU370" s="179"/>
      <c r="AV370" s="179"/>
      <c r="AW370" s="179"/>
      <c r="AX370" s="179"/>
      <c r="AY370" s="179"/>
      <c r="AZ370" s="179"/>
      <c r="BA370" s="179"/>
      <c r="BB370" s="179"/>
      <c r="BC370" s="179"/>
      <c r="BD370" s="179"/>
      <c r="BE370" s="179"/>
      <c r="BF370" s="179"/>
      <c r="BG370" s="179"/>
      <c r="BH370" s="179"/>
      <c r="BI370" s="179"/>
      <c r="BJ370" s="179"/>
      <c r="BK370" s="179"/>
      <c r="BL370" s="179"/>
      <c r="BM370" s="179"/>
      <c r="BN370" s="179"/>
      <c r="BO370" s="179"/>
      <c r="BP370" s="179"/>
      <c r="BQ370" s="179"/>
      <c r="BR370" s="179"/>
      <c r="BS370" s="179"/>
      <c r="BT370" s="179"/>
      <c r="BU370" s="179"/>
      <c r="BV370" s="179"/>
      <c r="BW370" s="179"/>
      <c r="BX370" s="179"/>
      <c r="BY370" s="179"/>
      <c r="BZ370" s="179"/>
      <c r="CA370" s="179"/>
      <c r="CB370" s="179"/>
      <c r="CC370" s="179"/>
      <c r="CD370" s="179"/>
      <c r="CE370" s="179"/>
      <c r="CF370" s="179"/>
      <c r="CG370" s="179"/>
      <c r="CH370" s="179"/>
      <c r="CI370" s="179"/>
      <c r="CJ370" s="179"/>
      <c r="CK370" s="179"/>
      <c r="CL370" s="179"/>
      <c r="CM370" s="179"/>
      <c r="CN370" s="179"/>
      <c r="CO370" s="179"/>
      <c r="CP370" s="179"/>
      <c r="CQ370" s="179"/>
      <c r="CR370" s="179"/>
      <c r="CS370" s="179"/>
      <c r="CT370" s="179"/>
      <c r="CU370" s="179"/>
    </row>
    <row r="371" spans="1:99" s="160" customFormat="1" ht="13" outlineLevel="1" thickBot="1">
      <c r="B371" s="186"/>
      <c r="C371" s="187" t="s">
        <v>316</v>
      </c>
      <c r="D371" s="205"/>
      <c r="E371" s="205"/>
      <c r="F371" s="339"/>
      <c r="G371" s="339"/>
      <c r="H371" s="339"/>
      <c r="I371" s="150">
        <f t="shared" ref="I371:AG371" si="125">SUM(I292:I297)</f>
        <v>15.327142857142858</v>
      </c>
      <c r="J371" s="150">
        <f t="shared" si="125"/>
        <v>15.327142857142858</v>
      </c>
      <c r="K371" s="150">
        <f t="shared" si="125"/>
        <v>15.327142857142858</v>
      </c>
      <c r="L371" s="150">
        <f t="shared" si="125"/>
        <v>15.327142857142858</v>
      </c>
      <c r="M371" s="150">
        <f t="shared" si="125"/>
        <v>15.327142857142858</v>
      </c>
      <c r="N371" s="150">
        <f t="shared" si="125"/>
        <v>15.327142857142858</v>
      </c>
      <c r="O371" s="150">
        <f t="shared" si="125"/>
        <v>15.327142857142858</v>
      </c>
      <c r="P371" s="150">
        <f t="shared" si="125"/>
        <v>15.327142857142858</v>
      </c>
      <c r="Q371" s="150">
        <f t="shared" si="125"/>
        <v>15.327142857142858</v>
      </c>
      <c r="R371" s="150">
        <f t="shared" si="125"/>
        <v>15.327142857142858</v>
      </c>
      <c r="S371" s="150">
        <f t="shared" si="125"/>
        <v>15.327142857142858</v>
      </c>
      <c r="T371" s="150">
        <f t="shared" si="125"/>
        <v>15.327142857142858</v>
      </c>
      <c r="U371" s="150">
        <f t="shared" si="125"/>
        <v>15.327142857142858</v>
      </c>
      <c r="V371" s="150">
        <f t="shared" si="125"/>
        <v>15.327142857142858</v>
      </c>
      <c r="W371" s="150">
        <f t="shared" si="125"/>
        <v>15.327142857142858</v>
      </c>
      <c r="X371" s="150">
        <f t="shared" si="125"/>
        <v>15.327142857142858</v>
      </c>
      <c r="Y371" s="150">
        <f t="shared" si="125"/>
        <v>15.327142857142858</v>
      </c>
      <c r="Z371" s="150">
        <f t="shared" si="125"/>
        <v>15.327142857142858</v>
      </c>
      <c r="AA371" s="150">
        <f t="shared" si="125"/>
        <v>15.327142857142858</v>
      </c>
      <c r="AB371" s="150">
        <f t="shared" si="125"/>
        <v>15.327142857142858</v>
      </c>
      <c r="AC371" s="150">
        <f t="shared" si="125"/>
        <v>15.327142857142858</v>
      </c>
      <c r="AD371" s="150">
        <f t="shared" si="125"/>
        <v>15.327142857142858</v>
      </c>
      <c r="AE371" s="150">
        <f t="shared" si="125"/>
        <v>15.327142857142858</v>
      </c>
      <c r="AF371" s="150">
        <f t="shared" si="125"/>
        <v>15.327142857142858</v>
      </c>
      <c r="AG371" s="150">
        <f t="shared" si="125"/>
        <v>15.327142857142858</v>
      </c>
      <c r="AH371" s="179"/>
      <c r="AI371" s="179"/>
      <c r="AJ371" s="179"/>
      <c r="AK371" s="179"/>
      <c r="AL371" s="179"/>
      <c r="AM371" s="179"/>
      <c r="AN371" s="179"/>
      <c r="AO371" s="179"/>
      <c r="AP371" s="179"/>
      <c r="AQ371" s="179"/>
      <c r="AR371" s="179"/>
      <c r="AS371" s="179"/>
      <c r="AT371" s="179"/>
      <c r="AU371" s="179"/>
      <c r="AV371" s="179"/>
      <c r="AW371" s="179"/>
      <c r="AX371" s="179"/>
      <c r="AY371" s="179"/>
      <c r="AZ371" s="179"/>
      <c r="BA371" s="179"/>
      <c r="BB371" s="179"/>
      <c r="BC371" s="179"/>
      <c r="BD371" s="179"/>
      <c r="BE371" s="179"/>
      <c r="BF371" s="179"/>
      <c r="BG371" s="179"/>
      <c r="BH371" s="179"/>
      <c r="BI371" s="179"/>
      <c r="BJ371" s="179"/>
      <c r="BK371" s="179"/>
      <c r="BL371" s="179"/>
      <c r="BM371" s="179"/>
      <c r="BN371" s="179"/>
      <c r="BO371" s="179"/>
      <c r="BP371" s="179"/>
      <c r="BQ371" s="179"/>
      <c r="BR371" s="179"/>
      <c r="BS371" s="179"/>
      <c r="BT371" s="179"/>
      <c r="BU371" s="179"/>
      <c r="BV371" s="179"/>
      <c r="BW371" s="179"/>
      <c r="BX371" s="179"/>
      <c r="BY371" s="179"/>
      <c r="BZ371" s="179"/>
      <c r="CA371" s="179"/>
      <c r="CB371" s="179"/>
      <c r="CC371" s="179"/>
      <c r="CD371" s="179"/>
      <c r="CE371" s="179"/>
      <c r="CF371" s="179"/>
      <c r="CG371" s="179"/>
      <c r="CH371" s="179"/>
      <c r="CI371" s="179"/>
      <c r="CJ371" s="179"/>
      <c r="CK371" s="179"/>
      <c r="CL371" s="179"/>
      <c r="CM371" s="179"/>
      <c r="CN371" s="179"/>
      <c r="CO371" s="179"/>
      <c r="CP371" s="179"/>
      <c r="CQ371" s="179"/>
      <c r="CR371" s="179"/>
      <c r="CS371" s="179"/>
      <c r="CT371" s="179"/>
      <c r="CU371" s="179"/>
    </row>
    <row r="372" spans="1:99" s="160" customFormat="1" ht="13" outlineLevel="1" thickBot="1">
      <c r="B372" s="186"/>
      <c r="C372" s="187" t="s">
        <v>93</v>
      </c>
      <c r="D372" s="205"/>
      <c r="E372" s="205"/>
      <c r="F372" s="339"/>
      <c r="G372" s="339"/>
      <c r="H372" s="339"/>
      <c r="I372" s="150">
        <f t="shared" ref="I372:AG372" si="126">SUM(I300:I302)</f>
        <v>24.685714285714283</v>
      </c>
      <c r="J372" s="150">
        <f t="shared" si="126"/>
        <v>24.685714285714283</v>
      </c>
      <c r="K372" s="150">
        <f t="shared" si="126"/>
        <v>24.685714285714283</v>
      </c>
      <c r="L372" s="150">
        <f t="shared" si="126"/>
        <v>24.685714285714283</v>
      </c>
      <c r="M372" s="150">
        <f t="shared" si="126"/>
        <v>24.685714285714283</v>
      </c>
      <c r="N372" s="150">
        <f t="shared" si="126"/>
        <v>24.685714285714283</v>
      </c>
      <c r="O372" s="150">
        <f t="shared" si="126"/>
        <v>24.685714285714283</v>
      </c>
      <c r="P372" s="150">
        <f t="shared" si="126"/>
        <v>24.685714285714283</v>
      </c>
      <c r="Q372" s="150">
        <f t="shared" si="126"/>
        <v>24.685714285714283</v>
      </c>
      <c r="R372" s="150">
        <f t="shared" si="126"/>
        <v>24.685714285714283</v>
      </c>
      <c r="S372" s="150">
        <f t="shared" si="126"/>
        <v>24.685714285714283</v>
      </c>
      <c r="T372" s="150">
        <f t="shared" si="126"/>
        <v>24.685714285714283</v>
      </c>
      <c r="U372" s="150">
        <f t="shared" si="126"/>
        <v>24.685714285714283</v>
      </c>
      <c r="V372" s="150">
        <f t="shared" si="126"/>
        <v>24.685714285714283</v>
      </c>
      <c r="W372" s="150">
        <f t="shared" si="126"/>
        <v>24.685714285714283</v>
      </c>
      <c r="X372" s="150">
        <f t="shared" si="126"/>
        <v>24.685714285714283</v>
      </c>
      <c r="Y372" s="150">
        <f t="shared" si="126"/>
        <v>24.685714285714283</v>
      </c>
      <c r="Z372" s="150">
        <f t="shared" si="126"/>
        <v>24.685714285714283</v>
      </c>
      <c r="AA372" s="150">
        <f t="shared" si="126"/>
        <v>24.685714285714283</v>
      </c>
      <c r="AB372" s="150">
        <f t="shared" si="126"/>
        <v>24.685714285714283</v>
      </c>
      <c r="AC372" s="150">
        <f t="shared" si="126"/>
        <v>24.685714285714283</v>
      </c>
      <c r="AD372" s="150">
        <f t="shared" si="126"/>
        <v>24.685714285714283</v>
      </c>
      <c r="AE372" s="150">
        <f t="shared" si="126"/>
        <v>24.685714285714283</v>
      </c>
      <c r="AF372" s="150">
        <f t="shared" si="126"/>
        <v>24.685714285714283</v>
      </c>
      <c r="AG372" s="150">
        <f t="shared" si="126"/>
        <v>24.685714285714283</v>
      </c>
      <c r="AH372" s="179"/>
      <c r="AI372" s="179"/>
      <c r="AJ372" s="179"/>
      <c r="AK372" s="179"/>
      <c r="AL372" s="179"/>
      <c r="AM372" s="179"/>
      <c r="AN372" s="179"/>
      <c r="AO372" s="179"/>
      <c r="AP372" s="179"/>
      <c r="AQ372" s="179"/>
      <c r="AR372" s="179"/>
      <c r="AS372" s="179"/>
      <c r="AT372" s="179"/>
      <c r="AU372" s="179"/>
      <c r="AV372" s="179"/>
      <c r="AW372" s="179"/>
      <c r="AX372" s="179"/>
      <c r="AY372" s="179"/>
      <c r="AZ372" s="179"/>
      <c r="BA372" s="179"/>
      <c r="BB372" s="179"/>
      <c r="BC372" s="179"/>
      <c r="BD372" s="179"/>
      <c r="BE372" s="179"/>
      <c r="BF372" s="179"/>
      <c r="BG372" s="179"/>
      <c r="BH372" s="179"/>
      <c r="BI372" s="179"/>
      <c r="BJ372" s="179"/>
      <c r="BK372" s="179"/>
      <c r="BL372" s="179"/>
      <c r="BM372" s="179"/>
      <c r="BN372" s="179"/>
      <c r="BO372" s="179"/>
      <c r="BP372" s="179"/>
      <c r="BQ372" s="179"/>
      <c r="BR372" s="179"/>
      <c r="BS372" s="179"/>
      <c r="BT372" s="179"/>
      <c r="BU372" s="179"/>
      <c r="BV372" s="179"/>
      <c r="BW372" s="179"/>
      <c r="BX372" s="179"/>
      <c r="BY372" s="179"/>
      <c r="BZ372" s="179"/>
      <c r="CA372" s="179"/>
      <c r="CB372" s="179"/>
      <c r="CC372" s="179"/>
      <c r="CD372" s="179"/>
      <c r="CE372" s="179"/>
      <c r="CF372" s="179"/>
      <c r="CG372" s="179"/>
      <c r="CH372" s="179"/>
      <c r="CI372" s="179"/>
      <c r="CJ372" s="179"/>
      <c r="CK372" s="179"/>
      <c r="CL372" s="179"/>
      <c r="CM372" s="179"/>
      <c r="CN372" s="179"/>
      <c r="CO372" s="179"/>
      <c r="CP372" s="179"/>
      <c r="CQ372" s="179"/>
      <c r="CR372" s="179"/>
      <c r="CS372" s="179"/>
      <c r="CT372" s="179"/>
      <c r="CU372" s="179"/>
    </row>
    <row r="373" spans="1:99" s="160" customFormat="1" ht="15" customHeight="1" outlineLevel="1" thickBot="1">
      <c r="B373" s="186"/>
      <c r="C373" s="187" t="s">
        <v>325</v>
      </c>
      <c r="D373" s="205"/>
      <c r="E373" s="205"/>
      <c r="F373" s="339"/>
      <c r="G373" s="339"/>
      <c r="H373" s="339"/>
      <c r="I373" s="150">
        <f t="shared" ref="I373:AG373" si="127">SUM(I305:I307)</f>
        <v>0</v>
      </c>
      <c r="J373" s="150">
        <f t="shared" si="127"/>
        <v>0</v>
      </c>
      <c r="K373" s="150">
        <f t="shared" si="127"/>
        <v>0</v>
      </c>
      <c r="L373" s="150">
        <f t="shared" si="127"/>
        <v>0</v>
      </c>
      <c r="M373" s="150">
        <f t="shared" si="127"/>
        <v>0</v>
      </c>
      <c r="N373" s="150">
        <f t="shared" si="127"/>
        <v>0</v>
      </c>
      <c r="O373" s="150">
        <f t="shared" si="127"/>
        <v>0</v>
      </c>
      <c r="P373" s="150">
        <f t="shared" si="127"/>
        <v>0</v>
      </c>
      <c r="Q373" s="150">
        <f t="shared" si="127"/>
        <v>0</v>
      </c>
      <c r="R373" s="150">
        <f t="shared" si="127"/>
        <v>0</v>
      </c>
      <c r="S373" s="150">
        <f t="shared" si="127"/>
        <v>0</v>
      </c>
      <c r="T373" s="150">
        <f t="shared" si="127"/>
        <v>0</v>
      </c>
      <c r="U373" s="150">
        <f t="shared" si="127"/>
        <v>0</v>
      </c>
      <c r="V373" s="150">
        <f t="shared" si="127"/>
        <v>0</v>
      </c>
      <c r="W373" s="150">
        <f t="shared" si="127"/>
        <v>0</v>
      </c>
      <c r="X373" s="150">
        <f t="shared" si="127"/>
        <v>0</v>
      </c>
      <c r="Y373" s="150">
        <f t="shared" si="127"/>
        <v>0</v>
      </c>
      <c r="Z373" s="150">
        <f t="shared" si="127"/>
        <v>0</v>
      </c>
      <c r="AA373" s="150">
        <f t="shared" si="127"/>
        <v>0</v>
      </c>
      <c r="AB373" s="150">
        <f t="shared" si="127"/>
        <v>0</v>
      </c>
      <c r="AC373" s="150">
        <f t="shared" si="127"/>
        <v>0</v>
      </c>
      <c r="AD373" s="150">
        <f t="shared" si="127"/>
        <v>0</v>
      </c>
      <c r="AE373" s="150">
        <f t="shared" si="127"/>
        <v>0</v>
      </c>
      <c r="AF373" s="150">
        <f t="shared" si="127"/>
        <v>0</v>
      </c>
      <c r="AG373" s="150">
        <f t="shared" si="127"/>
        <v>0</v>
      </c>
      <c r="AH373" s="179"/>
      <c r="AI373" s="179"/>
      <c r="AJ373" s="179"/>
      <c r="AK373" s="179"/>
      <c r="AL373" s="179"/>
      <c r="AM373" s="179"/>
      <c r="AN373" s="179"/>
      <c r="AO373" s="179"/>
      <c r="AP373" s="179"/>
      <c r="AQ373" s="179"/>
      <c r="AR373" s="179"/>
      <c r="AS373" s="179"/>
      <c r="AT373" s="179"/>
      <c r="AU373" s="179"/>
      <c r="AV373" s="179"/>
      <c r="AW373" s="179"/>
      <c r="AX373" s="179"/>
      <c r="AY373" s="179"/>
      <c r="AZ373" s="179"/>
      <c r="BA373" s="179"/>
      <c r="BB373" s="179"/>
      <c r="BC373" s="179"/>
      <c r="BD373" s="179"/>
      <c r="BE373" s="179"/>
      <c r="BF373" s="179"/>
      <c r="BG373" s="179"/>
      <c r="BH373" s="179"/>
      <c r="BI373" s="179"/>
      <c r="BJ373" s="179"/>
      <c r="BK373" s="179"/>
      <c r="BL373" s="179"/>
      <c r="BM373" s="179"/>
      <c r="BN373" s="179"/>
      <c r="BO373" s="179"/>
      <c r="BP373" s="179"/>
      <c r="BQ373" s="179"/>
      <c r="BR373" s="179"/>
      <c r="BS373" s="179"/>
      <c r="BT373" s="179"/>
      <c r="BU373" s="179"/>
      <c r="BV373" s="179"/>
      <c r="BW373" s="179"/>
      <c r="BX373" s="179"/>
      <c r="BY373" s="179"/>
      <c r="BZ373" s="179"/>
      <c r="CA373" s="179"/>
      <c r="CB373" s="179"/>
      <c r="CC373" s="179"/>
      <c r="CD373" s="179"/>
      <c r="CE373" s="179"/>
      <c r="CF373" s="179"/>
      <c r="CG373" s="179"/>
      <c r="CH373" s="179"/>
      <c r="CI373" s="179"/>
      <c r="CJ373" s="179"/>
      <c r="CK373" s="179"/>
      <c r="CL373" s="179"/>
      <c r="CM373" s="179"/>
      <c r="CN373" s="179"/>
      <c r="CO373" s="179"/>
      <c r="CP373" s="179"/>
      <c r="CQ373" s="179"/>
      <c r="CR373" s="179"/>
      <c r="CS373" s="179"/>
      <c r="CT373" s="179"/>
      <c r="CU373" s="179"/>
    </row>
    <row r="374" spans="1:99" s="160" customFormat="1" ht="15" customHeight="1" outlineLevel="1" thickBot="1">
      <c r="B374" s="186"/>
      <c r="C374" s="173" t="s">
        <v>456</v>
      </c>
      <c r="D374" s="174"/>
      <c r="E374" s="174"/>
      <c r="F374" s="175"/>
      <c r="G374" s="175"/>
      <c r="H374" s="175"/>
      <c r="I374" s="271">
        <f>SUM(I370:I373)</f>
        <v>2663.1642271062269</v>
      </c>
      <c r="J374" s="271">
        <f t="shared" ref="J374:AG374" si="128">SUM(J370:J373)</f>
        <v>2663.1642271062269</v>
      </c>
      <c r="K374" s="271">
        <f t="shared" si="128"/>
        <v>2663.1642271062269</v>
      </c>
      <c r="L374" s="271">
        <f t="shared" si="128"/>
        <v>2663.1642271062269</v>
      </c>
      <c r="M374" s="271">
        <f t="shared" si="128"/>
        <v>2663.1642271062269</v>
      </c>
      <c r="N374" s="271">
        <f t="shared" si="128"/>
        <v>2663.1642271062269</v>
      </c>
      <c r="O374" s="271">
        <f t="shared" si="128"/>
        <v>2663.1642271062269</v>
      </c>
      <c r="P374" s="271">
        <f t="shared" si="128"/>
        <v>2663.1642271062269</v>
      </c>
      <c r="Q374" s="271">
        <f t="shared" si="128"/>
        <v>2663.1642271062269</v>
      </c>
      <c r="R374" s="271">
        <f t="shared" si="128"/>
        <v>2663.1642271062269</v>
      </c>
      <c r="S374" s="271">
        <f t="shared" si="128"/>
        <v>2663.1642271062269</v>
      </c>
      <c r="T374" s="271">
        <f t="shared" si="128"/>
        <v>2663.1642271062269</v>
      </c>
      <c r="U374" s="271">
        <f t="shared" si="128"/>
        <v>2663.1642271062269</v>
      </c>
      <c r="V374" s="271">
        <f t="shared" si="128"/>
        <v>2663.1642271062269</v>
      </c>
      <c r="W374" s="271">
        <f t="shared" si="128"/>
        <v>2663.1642271062269</v>
      </c>
      <c r="X374" s="271">
        <f t="shared" si="128"/>
        <v>1946.359984574269</v>
      </c>
      <c r="Y374" s="271">
        <f t="shared" si="128"/>
        <v>1946.359984574269</v>
      </c>
      <c r="Z374" s="271">
        <f t="shared" si="128"/>
        <v>1946.359984574269</v>
      </c>
      <c r="AA374" s="271">
        <f t="shared" si="128"/>
        <v>1946.359984574269</v>
      </c>
      <c r="AB374" s="271">
        <f t="shared" si="128"/>
        <v>1946.359984574269</v>
      </c>
      <c r="AC374" s="271">
        <f t="shared" si="128"/>
        <v>1946.359984574269</v>
      </c>
      <c r="AD374" s="271">
        <f t="shared" si="128"/>
        <v>1946.359984574269</v>
      </c>
      <c r="AE374" s="271">
        <f t="shared" si="128"/>
        <v>1946.359984574269</v>
      </c>
      <c r="AF374" s="271">
        <f t="shared" si="128"/>
        <v>1946.359984574269</v>
      </c>
      <c r="AG374" s="271">
        <f t="shared" si="128"/>
        <v>1946.359984574269</v>
      </c>
      <c r="AH374" s="179"/>
      <c r="AI374" s="179"/>
      <c r="AJ374" s="179"/>
      <c r="AK374" s="179"/>
      <c r="AL374" s="179"/>
      <c r="AM374" s="179"/>
      <c r="AN374" s="179"/>
      <c r="AO374" s="179"/>
      <c r="AP374" s="179"/>
      <c r="AQ374" s="179"/>
      <c r="AR374" s="179"/>
      <c r="AS374" s="179"/>
      <c r="AT374" s="179"/>
      <c r="AU374" s="179"/>
      <c r="AV374" s="179"/>
      <c r="AW374" s="179"/>
      <c r="AX374" s="179"/>
      <c r="AY374" s="179"/>
      <c r="AZ374" s="179"/>
      <c r="BA374" s="179"/>
      <c r="BB374" s="179"/>
      <c r="BC374" s="179"/>
      <c r="BD374" s="179"/>
      <c r="BE374" s="179"/>
      <c r="BF374" s="179"/>
      <c r="BG374" s="179"/>
      <c r="BH374" s="179"/>
      <c r="BI374" s="179"/>
      <c r="BJ374" s="179"/>
      <c r="BK374" s="179"/>
      <c r="BL374" s="179"/>
      <c r="BM374" s="179"/>
      <c r="BN374" s="179"/>
      <c r="BO374" s="179"/>
      <c r="BP374" s="179"/>
      <c r="BQ374" s="179"/>
      <c r="BR374" s="179"/>
      <c r="BS374" s="179"/>
      <c r="BT374" s="179"/>
      <c r="BU374" s="179"/>
      <c r="BV374" s="179"/>
      <c r="BW374" s="179"/>
      <c r="BX374" s="179"/>
      <c r="BY374" s="179"/>
      <c r="BZ374" s="179"/>
      <c r="CA374" s="179"/>
      <c r="CB374" s="179"/>
      <c r="CC374" s="179"/>
      <c r="CD374" s="179"/>
      <c r="CE374" s="179"/>
      <c r="CF374" s="179"/>
      <c r="CG374" s="179"/>
      <c r="CH374" s="179"/>
      <c r="CI374" s="179"/>
      <c r="CJ374" s="179"/>
      <c r="CK374" s="179"/>
      <c r="CL374" s="179"/>
      <c r="CM374" s="179"/>
      <c r="CN374" s="179"/>
      <c r="CO374" s="179"/>
      <c r="CP374" s="179"/>
      <c r="CQ374" s="179"/>
      <c r="CR374" s="179"/>
      <c r="CS374" s="179"/>
      <c r="CT374" s="179"/>
      <c r="CU374" s="179"/>
    </row>
    <row r="375" spans="1:99" ht="14.5" outlineLevel="1" thickBot="1">
      <c r="F375" s="128"/>
      <c r="G375" s="128"/>
      <c r="H375" s="128"/>
      <c r="I375" s="158"/>
      <c r="J375" s="158"/>
      <c r="K375" s="158"/>
      <c r="L375" s="158"/>
      <c r="M375" s="158"/>
      <c r="N375" s="158"/>
      <c r="O375" s="158"/>
      <c r="P375" s="158"/>
      <c r="Q375" s="158"/>
      <c r="R375" s="158"/>
      <c r="S375" s="158"/>
      <c r="T375" s="158"/>
      <c r="U375" s="158"/>
      <c r="V375" s="158"/>
      <c r="W375" s="158"/>
      <c r="X375" s="158"/>
      <c r="Y375" s="158"/>
      <c r="Z375" s="158"/>
      <c r="AA375" s="158"/>
      <c r="AB375" s="158"/>
      <c r="AC375" s="158"/>
      <c r="AD375" s="158"/>
      <c r="AE375" s="158"/>
      <c r="AF375" s="158"/>
      <c r="AG375" s="158"/>
      <c r="AH375" s="128"/>
      <c r="AI375" s="128"/>
      <c r="AJ375" s="128"/>
      <c r="AK375" s="128"/>
      <c r="AL375" s="128"/>
      <c r="AM375" s="128"/>
      <c r="AN375" s="128"/>
      <c r="AO375" s="128"/>
      <c r="AP375" s="128"/>
      <c r="AQ375" s="128"/>
      <c r="AR375" s="128"/>
      <c r="AS375" s="128"/>
      <c r="AT375" s="128"/>
      <c r="AU375" s="128"/>
      <c r="AV375" s="128"/>
      <c r="AW375" s="128"/>
      <c r="AX375" s="128"/>
      <c r="AY375" s="128"/>
      <c r="AZ375" s="128"/>
      <c r="BA375" s="128"/>
      <c r="BB375" s="128"/>
      <c r="BC375" s="128"/>
      <c r="BD375" s="128"/>
      <c r="BE375" s="128"/>
      <c r="BF375" s="128"/>
      <c r="BG375" s="128"/>
      <c r="BH375" s="128"/>
      <c r="BI375" s="128"/>
      <c r="BJ375" s="128"/>
      <c r="BK375" s="128"/>
      <c r="BL375" s="128"/>
      <c r="BM375" s="128"/>
      <c r="BN375" s="128"/>
      <c r="BO375" s="128"/>
      <c r="BP375" s="128"/>
      <c r="BQ375" s="128"/>
      <c r="BR375" s="128"/>
      <c r="BS375" s="128"/>
      <c r="BT375" s="128"/>
      <c r="BU375" s="128"/>
      <c r="BV375" s="128"/>
      <c r="BW375" s="128"/>
      <c r="BX375" s="128"/>
      <c r="BY375" s="128"/>
      <c r="BZ375" s="128"/>
      <c r="CA375" s="128"/>
      <c r="CB375" s="128"/>
      <c r="CC375" s="128"/>
      <c r="CD375" s="128"/>
      <c r="CE375" s="128"/>
      <c r="CF375" s="128"/>
      <c r="CG375" s="128"/>
      <c r="CH375" s="128"/>
      <c r="CI375" s="128"/>
      <c r="CJ375" s="128"/>
      <c r="CK375" s="128"/>
      <c r="CL375" s="128"/>
      <c r="CM375" s="128"/>
      <c r="CN375" s="128"/>
      <c r="CO375" s="128"/>
      <c r="CP375" s="128"/>
      <c r="CQ375" s="128"/>
      <c r="CR375" s="128"/>
      <c r="CS375" s="128"/>
      <c r="CT375" s="128"/>
      <c r="CU375" s="128"/>
    </row>
    <row r="376" spans="1:99" ht="14.5" outlineLevel="1" thickBot="1">
      <c r="B376" s="186"/>
      <c r="C376" s="173" t="s">
        <v>457</v>
      </c>
      <c r="D376" s="174"/>
      <c r="E376" s="174"/>
      <c r="F376" s="175"/>
      <c r="G376" s="175"/>
      <c r="H376" s="175"/>
      <c r="I376" s="271">
        <f t="shared" ref="I376:AG376" si="129">IF(I1&lt;=$D$18,IFERROR(I367-I374,""),0)</f>
        <v>-484.36685422966593</v>
      </c>
      <c r="J376" s="271">
        <f t="shared" si="129"/>
        <v>-669.81963846982444</v>
      </c>
      <c r="K376" s="271">
        <f t="shared" si="129"/>
        <v>-857.60730600276884</v>
      </c>
      <c r="L376" s="271">
        <f t="shared" si="129"/>
        <v>-1047.7847995281568</v>
      </c>
      <c r="M376" s="271">
        <f t="shared" si="129"/>
        <v>-1240.4081111342307</v>
      </c>
      <c r="N376" s="271">
        <f t="shared" si="129"/>
        <v>-1435.5343035714691</v>
      </c>
      <c r="O376" s="271">
        <f t="shared" si="129"/>
        <v>-1633.2215319699085</v>
      </c>
      <c r="P376" s="271">
        <f t="shared" si="129"/>
        <v>-1833.5290659745765</v>
      </c>
      <c r="Q376" s="271">
        <f t="shared" si="129"/>
        <v>-2036.5173123313639</v>
      </c>
      <c r="R376" s="271">
        <f t="shared" si="129"/>
        <v>-2242.2478379177996</v>
      </c>
      <c r="S376" s="271">
        <f t="shared" si="129"/>
        <v>-2450.7833932326607</v>
      </c>
      <c r="T376" s="271">
        <f t="shared" si="129"/>
        <v>-2662.187936355213</v>
      </c>
      <c r="U376" s="271">
        <f t="shared" si="129"/>
        <v>-2876.5266573814047</v>
      </c>
      <c r="V376" s="271">
        <f t="shared" si="129"/>
        <v>-3093.8660033470592</v>
      </c>
      <c r="W376" s="271">
        <f t="shared" si="129"/>
        <v>-3314.2737036478552</v>
      </c>
      <c r="X376" s="271">
        <f t="shared" si="129"/>
        <v>-2821.014553331559</v>
      </c>
      <c r="Y376" s="271">
        <f t="shared" si="129"/>
        <v>-3047.7674100793292</v>
      </c>
      <c r="Z376" s="271">
        <f t="shared" si="129"/>
        <v>-3277.7997653698194</v>
      </c>
      <c r="AA376" s="271">
        <f t="shared" si="129"/>
        <v>-3511.1847425254364</v>
      </c>
      <c r="AB376" s="271">
        <f t="shared" si="129"/>
        <v>-3747.9968821349275</v>
      </c>
      <c r="AC376" s="271">
        <f t="shared" si="129"/>
        <v>-3988.3121706699067</v>
      </c>
      <c r="AD376" s="271">
        <f t="shared" si="129"/>
        <v>-4232.2080696720823</v>
      </c>
      <c r="AE376" s="271">
        <f t="shared" si="129"/>
        <v>-5482.9009608410661</v>
      </c>
      <c r="AF376" s="271">
        <f t="shared" si="129"/>
        <v>-5728.1776906318119</v>
      </c>
      <c r="AG376" s="271">
        <f t="shared" si="129"/>
        <v>-5977.3126795567805</v>
      </c>
      <c r="AH376" s="128"/>
      <c r="AI376" s="128"/>
      <c r="AJ376" s="128"/>
      <c r="AK376" s="128"/>
      <c r="AL376" s="128"/>
      <c r="AM376" s="128"/>
      <c r="AN376" s="128"/>
      <c r="AO376" s="128"/>
      <c r="AP376" s="128"/>
      <c r="AQ376" s="128"/>
      <c r="AR376" s="128"/>
      <c r="AS376" s="128"/>
      <c r="AT376" s="128"/>
      <c r="AU376" s="128"/>
      <c r="AV376" s="128"/>
      <c r="AW376" s="128"/>
      <c r="AX376" s="128"/>
      <c r="AY376" s="128"/>
      <c r="AZ376" s="128"/>
      <c r="BA376" s="128"/>
      <c r="BB376" s="128"/>
      <c r="BC376" s="128"/>
      <c r="BD376" s="128"/>
      <c r="BE376" s="128"/>
      <c r="BF376" s="128"/>
      <c r="BG376" s="128"/>
      <c r="BH376" s="128"/>
      <c r="BI376" s="128"/>
      <c r="BJ376" s="128"/>
      <c r="BK376" s="128"/>
      <c r="BL376" s="128"/>
      <c r="BM376" s="128"/>
      <c r="BN376" s="128"/>
      <c r="BO376" s="128"/>
      <c r="BP376" s="128"/>
      <c r="BQ376" s="128"/>
      <c r="BR376" s="128"/>
      <c r="BS376" s="128"/>
      <c r="BT376" s="128"/>
      <c r="BU376" s="128"/>
      <c r="BV376" s="128"/>
      <c r="BW376" s="128"/>
      <c r="BX376" s="128"/>
      <c r="BY376" s="128"/>
      <c r="BZ376" s="128"/>
      <c r="CA376" s="128"/>
      <c r="CB376" s="128"/>
      <c r="CC376" s="128"/>
      <c r="CD376" s="128"/>
      <c r="CE376" s="128"/>
      <c r="CF376" s="128"/>
      <c r="CG376" s="128"/>
      <c r="CH376" s="128"/>
      <c r="CI376" s="128"/>
      <c r="CJ376" s="128"/>
      <c r="CK376" s="128"/>
      <c r="CL376" s="128"/>
      <c r="CM376" s="128"/>
      <c r="CN376" s="128"/>
      <c r="CO376" s="128"/>
      <c r="CP376" s="128"/>
      <c r="CQ376" s="128"/>
      <c r="CR376" s="128"/>
      <c r="CS376" s="128"/>
      <c r="CT376" s="128"/>
      <c r="CU376" s="128"/>
    </row>
    <row r="377" spans="1:99" ht="14.5" outlineLevel="1" thickBot="1">
      <c r="C377" s="153"/>
      <c r="D377" s="185"/>
      <c r="E377" s="224"/>
      <c r="F377" s="224"/>
      <c r="G377" s="224"/>
      <c r="H377" s="224"/>
      <c r="I377" s="224"/>
      <c r="J377" s="224"/>
      <c r="K377" s="224"/>
      <c r="L377" s="224"/>
      <c r="M377" s="224"/>
      <c r="N377" s="224"/>
      <c r="O377" s="224"/>
      <c r="P377" s="224"/>
      <c r="Q377" s="224"/>
      <c r="R377" s="224"/>
      <c r="S377" s="224"/>
      <c r="T377" s="224"/>
      <c r="U377" s="224"/>
      <c r="V377" s="224"/>
      <c r="W377" s="224"/>
      <c r="X377" s="224"/>
      <c r="Y377" s="224"/>
      <c r="Z377" s="224"/>
      <c r="AA377" s="224"/>
      <c r="AB377" s="224"/>
      <c r="AC377" s="224"/>
      <c r="AD377" s="224"/>
      <c r="AE377" s="224"/>
      <c r="AF377" s="224"/>
      <c r="AG377" s="224"/>
    </row>
    <row r="378" spans="1:99" ht="14.5" outlineLevel="1" thickBot="1">
      <c r="A378" s="128"/>
      <c r="B378" s="132"/>
      <c r="C378" s="132" t="s">
        <v>458</v>
      </c>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47"/>
      <c r="AH378" s="128"/>
      <c r="AI378" s="128"/>
      <c r="AJ378" s="128"/>
      <c r="AK378" s="128"/>
      <c r="AL378" s="128"/>
      <c r="AM378" s="128"/>
      <c r="AN378" s="128"/>
      <c r="AO378" s="128"/>
      <c r="AP378" s="128"/>
      <c r="AQ378" s="128"/>
      <c r="AR378" s="128"/>
      <c r="AS378" s="128"/>
      <c r="AT378" s="128"/>
      <c r="AU378" s="128"/>
      <c r="AV378" s="128"/>
      <c r="AW378" s="128"/>
      <c r="AX378" s="128"/>
      <c r="AY378" s="128"/>
      <c r="AZ378" s="128"/>
      <c r="BA378" s="128"/>
      <c r="BB378" s="128"/>
      <c r="BC378" s="128"/>
      <c r="BD378" s="128"/>
      <c r="BE378" s="128"/>
      <c r="BF378" s="128"/>
      <c r="BG378" s="128"/>
      <c r="BH378" s="128"/>
      <c r="BI378" s="128"/>
      <c r="BJ378" s="128"/>
      <c r="BK378" s="128"/>
      <c r="BL378" s="128"/>
      <c r="BM378" s="128"/>
      <c r="BN378" s="128"/>
      <c r="BO378" s="128"/>
      <c r="BP378" s="128"/>
      <c r="BQ378" s="128"/>
      <c r="BR378" s="128"/>
      <c r="BS378" s="128"/>
      <c r="BT378" s="128"/>
      <c r="BU378" s="128"/>
      <c r="BV378" s="128"/>
      <c r="BW378" s="128"/>
      <c r="BX378" s="128"/>
      <c r="BY378" s="128"/>
      <c r="BZ378" s="128"/>
      <c r="CA378" s="128"/>
      <c r="CB378" s="128"/>
      <c r="CC378" s="128"/>
      <c r="CD378" s="128"/>
      <c r="CE378" s="128"/>
      <c r="CF378" s="128"/>
      <c r="CG378" s="128"/>
      <c r="CH378" s="128"/>
      <c r="CI378" s="128"/>
      <c r="CJ378" s="128"/>
      <c r="CK378" s="128"/>
      <c r="CL378" s="128"/>
      <c r="CM378" s="128"/>
      <c r="CN378" s="128"/>
      <c r="CO378" s="128"/>
      <c r="CP378" s="128"/>
      <c r="CQ378" s="128"/>
      <c r="CR378" s="128"/>
      <c r="CS378" s="128"/>
      <c r="CT378" s="128"/>
      <c r="CU378" s="128"/>
    </row>
    <row r="379" spans="1:99" s="160" customFormat="1" ht="14.5" customHeight="1" outlineLevel="1" thickBot="1">
      <c r="A379" s="179"/>
      <c r="B379" s="186"/>
      <c r="C379" s="337" t="s">
        <v>459</v>
      </c>
      <c r="D379" s="338"/>
      <c r="E379" s="338"/>
      <c r="F379" s="346"/>
      <c r="G379" s="346"/>
      <c r="H379" s="231">
        <f t="shared" ref="H379:AG379" si="130">H1</f>
        <v>0</v>
      </c>
      <c r="I379" s="231">
        <f t="shared" si="130"/>
        <v>1</v>
      </c>
      <c r="J379" s="231">
        <f t="shared" si="130"/>
        <v>2</v>
      </c>
      <c r="K379" s="231">
        <f t="shared" si="130"/>
        <v>3</v>
      </c>
      <c r="L379" s="231">
        <f t="shared" si="130"/>
        <v>4</v>
      </c>
      <c r="M379" s="231">
        <f t="shared" si="130"/>
        <v>5</v>
      </c>
      <c r="N379" s="231">
        <f t="shared" si="130"/>
        <v>6</v>
      </c>
      <c r="O379" s="231">
        <f t="shared" si="130"/>
        <v>7</v>
      </c>
      <c r="P379" s="231">
        <f t="shared" si="130"/>
        <v>8</v>
      </c>
      <c r="Q379" s="231">
        <f t="shared" si="130"/>
        <v>9</v>
      </c>
      <c r="R379" s="231">
        <f t="shared" si="130"/>
        <v>10</v>
      </c>
      <c r="S379" s="231">
        <f t="shared" si="130"/>
        <v>11</v>
      </c>
      <c r="T379" s="231">
        <f t="shared" si="130"/>
        <v>12</v>
      </c>
      <c r="U379" s="231">
        <f t="shared" si="130"/>
        <v>13</v>
      </c>
      <c r="V379" s="231">
        <f t="shared" si="130"/>
        <v>14</v>
      </c>
      <c r="W379" s="231">
        <f t="shared" si="130"/>
        <v>15</v>
      </c>
      <c r="X379" s="231">
        <f t="shared" si="130"/>
        <v>16</v>
      </c>
      <c r="Y379" s="231">
        <f t="shared" si="130"/>
        <v>17</v>
      </c>
      <c r="Z379" s="231">
        <f t="shared" si="130"/>
        <v>18</v>
      </c>
      <c r="AA379" s="231">
        <f t="shared" si="130"/>
        <v>19</v>
      </c>
      <c r="AB379" s="231">
        <f t="shared" si="130"/>
        <v>20</v>
      </c>
      <c r="AC379" s="231">
        <f t="shared" si="130"/>
        <v>21</v>
      </c>
      <c r="AD379" s="231">
        <f t="shared" si="130"/>
        <v>22</v>
      </c>
      <c r="AE379" s="231">
        <f t="shared" si="130"/>
        <v>23</v>
      </c>
      <c r="AF379" s="231">
        <f t="shared" si="130"/>
        <v>24</v>
      </c>
      <c r="AG379" s="231">
        <f t="shared" si="130"/>
        <v>25</v>
      </c>
      <c r="AH379" s="179"/>
      <c r="AI379" s="179"/>
      <c r="AJ379" s="179"/>
      <c r="AK379" s="179"/>
      <c r="AL379" s="179"/>
      <c r="AM379" s="179"/>
      <c r="AN379" s="179"/>
      <c r="AO379" s="179"/>
      <c r="AP379" s="179"/>
      <c r="AQ379" s="179"/>
      <c r="AR379" s="179"/>
      <c r="AS379" s="179"/>
      <c r="AT379" s="179"/>
      <c r="AU379" s="179"/>
      <c r="AV379" s="179"/>
      <c r="AW379" s="179"/>
      <c r="AX379" s="179"/>
      <c r="AY379" s="179"/>
      <c r="AZ379" s="179"/>
      <c r="BA379" s="179"/>
      <c r="BB379" s="179"/>
      <c r="BC379" s="179"/>
      <c r="BD379" s="179"/>
      <c r="BE379" s="179"/>
      <c r="BF379" s="179"/>
      <c r="BG379" s="179"/>
      <c r="BH379" s="179"/>
      <c r="BI379" s="179"/>
      <c r="BJ379" s="179"/>
      <c r="BK379" s="179"/>
      <c r="BL379" s="179"/>
      <c r="BM379" s="179"/>
      <c r="BN379" s="179"/>
      <c r="BO379" s="179"/>
      <c r="BP379" s="179"/>
      <c r="BQ379" s="179"/>
      <c r="BR379" s="179"/>
      <c r="BS379" s="179"/>
      <c r="BT379" s="179"/>
      <c r="BU379" s="179"/>
      <c r="BV379" s="179"/>
      <c r="BW379" s="179"/>
      <c r="BX379" s="179"/>
      <c r="BY379" s="179"/>
      <c r="BZ379" s="179"/>
      <c r="CA379" s="179"/>
      <c r="CB379" s="179"/>
      <c r="CC379" s="179"/>
      <c r="CD379" s="179"/>
      <c r="CE379" s="179"/>
      <c r="CF379" s="179"/>
      <c r="CG379" s="179"/>
      <c r="CH379" s="179"/>
      <c r="CI379" s="179"/>
      <c r="CJ379" s="179"/>
      <c r="CK379" s="179"/>
      <c r="CL379" s="179"/>
      <c r="CM379" s="179"/>
      <c r="CN379" s="179"/>
      <c r="CO379" s="179"/>
      <c r="CP379" s="179"/>
      <c r="CQ379" s="179"/>
      <c r="CR379" s="179"/>
      <c r="CS379" s="179"/>
      <c r="CT379" s="179"/>
      <c r="CU379" s="179"/>
    </row>
    <row r="380" spans="1:99" s="160" customFormat="1" ht="14.5" customHeight="1" outlineLevel="1" thickBot="1">
      <c r="A380" s="179"/>
      <c r="B380" s="186"/>
      <c r="C380" s="337" t="s">
        <v>460</v>
      </c>
      <c r="D380" s="338"/>
      <c r="E380" s="338"/>
      <c r="F380" s="346"/>
      <c r="G380" s="346"/>
      <c r="H380" s="231">
        <v>0</v>
      </c>
      <c r="I380" s="231">
        <f ca="1">OFFSET(I379,0,-$D$56)</f>
        <v>1</v>
      </c>
      <c r="J380" s="231">
        <f t="shared" ref="J380:AG380" ca="1" si="131">OFFSET(J379,0,-$D$56)</f>
        <v>2</v>
      </c>
      <c r="K380" s="231">
        <f t="shared" ca="1" si="131"/>
        <v>3</v>
      </c>
      <c r="L380" s="231">
        <f t="shared" ca="1" si="131"/>
        <v>4</v>
      </c>
      <c r="M380" s="231">
        <f t="shared" ca="1" si="131"/>
        <v>5</v>
      </c>
      <c r="N380" s="231">
        <f t="shared" ca="1" si="131"/>
        <v>6</v>
      </c>
      <c r="O380" s="231">
        <f t="shared" ca="1" si="131"/>
        <v>7</v>
      </c>
      <c r="P380" s="231">
        <f t="shared" ca="1" si="131"/>
        <v>8</v>
      </c>
      <c r="Q380" s="231">
        <f t="shared" ca="1" si="131"/>
        <v>9</v>
      </c>
      <c r="R380" s="231">
        <f t="shared" ca="1" si="131"/>
        <v>10</v>
      </c>
      <c r="S380" s="231">
        <f t="shared" ca="1" si="131"/>
        <v>11</v>
      </c>
      <c r="T380" s="231">
        <f t="shared" ca="1" si="131"/>
        <v>12</v>
      </c>
      <c r="U380" s="231">
        <f t="shared" ca="1" si="131"/>
        <v>13</v>
      </c>
      <c r="V380" s="231">
        <f t="shared" ca="1" si="131"/>
        <v>14</v>
      </c>
      <c r="W380" s="231">
        <f t="shared" ca="1" si="131"/>
        <v>15</v>
      </c>
      <c r="X380" s="231">
        <f t="shared" ca="1" si="131"/>
        <v>16</v>
      </c>
      <c r="Y380" s="231">
        <f t="shared" ca="1" si="131"/>
        <v>17</v>
      </c>
      <c r="Z380" s="231">
        <f t="shared" ca="1" si="131"/>
        <v>18</v>
      </c>
      <c r="AA380" s="231">
        <f t="shared" ca="1" si="131"/>
        <v>19</v>
      </c>
      <c r="AB380" s="231">
        <f t="shared" ca="1" si="131"/>
        <v>20</v>
      </c>
      <c r="AC380" s="231">
        <f t="shared" ca="1" si="131"/>
        <v>21</v>
      </c>
      <c r="AD380" s="231">
        <f t="shared" ca="1" si="131"/>
        <v>22</v>
      </c>
      <c r="AE380" s="231">
        <f t="shared" ca="1" si="131"/>
        <v>23</v>
      </c>
      <c r="AF380" s="231">
        <f t="shared" ca="1" si="131"/>
        <v>24</v>
      </c>
      <c r="AG380" s="231">
        <f t="shared" ca="1" si="131"/>
        <v>25</v>
      </c>
      <c r="AH380" s="179"/>
      <c r="AI380" s="179"/>
      <c r="AJ380" s="179"/>
      <c r="AK380" s="179"/>
      <c r="AL380" s="179"/>
      <c r="AM380" s="179"/>
      <c r="AN380" s="179"/>
      <c r="AO380" s="179"/>
      <c r="AP380" s="179"/>
      <c r="AQ380" s="179"/>
      <c r="AR380" s="179"/>
      <c r="AS380" s="179"/>
      <c r="AT380" s="179"/>
      <c r="AU380" s="179"/>
      <c r="AV380" s="179"/>
      <c r="AW380" s="179"/>
      <c r="AX380" s="179"/>
      <c r="AY380" s="179"/>
      <c r="AZ380" s="179"/>
      <c r="BA380" s="179"/>
      <c r="BB380" s="179"/>
      <c r="BC380" s="179"/>
      <c r="BD380" s="179"/>
      <c r="BE380" s="179"/>
      <c r="BF380" s="179"/>
      <c r="BG380" s="179"/>
      <c r="BH380" s="179"/>
      <c r="BI380" s="179"/>
      <c r="BJ380" s="179"/>
      <c r="BK380" s="179"/>
      <c r="BL380" s="179"/>
      <c r="BM380" s="179"/>
      <c r="BN380" s="179"/>
      <c r="BO380" s="179"/>
      <c r="BP380" s="179"/>
      <c r="BQ380" s="179"/>
      <c r="BR380" s="179"/>
      <c r="BS380" s="179"/>
      <c r="BT380" s="179"/>
      <c r="BU380" s="179"/>
      <c r="BV380" s="179"/>
      <c r="BW380" s="179"/>
      <c r="BX380" s="179"/>
      <c r="BY380" s="179"/>
      <c r="BZ380" s="179"/>
      <c r="CA380" s="179"/>
      <c r="CB380" s="179"/>
      <c r="CC380" s="179"/>
      <c r="CD380" s="179"/>
      <c r="CE380" s="179"/>
      <c r="CF380" s="179"/>
      <c r="CG380" s="179"/>
      <c r="CH380" s="179"/>
      <c r="CI380" s="179"/>
      <c r="CJ380" s="179"/>
      <c r="CK380" s="179"/>
      <c r="CL380" s="179"/>
      <c r="CM380" s="179"/>
      <c r="CN380" s="179"/>
      <c r="CO380" s="179"/>
      <c r="CP380" s="179"/>
      <c r="CQ380" s="179"/>
      <c r="CR380" s="179"/>
      <c r="CS380" s="179"/>
      <c r="CT380" s="179"/>
      <c r="CU380" s="179"/>
    </row>
    <row r="381" spans="1:99" s="160" customFormat="1" ht="14.5" customHeight="1" outlineLevel="1">
      <c r="A381" s="179"/>
      <c r="B381" s="347"/>
      <c r="C381" s="348" t="s">
        <v>460</v>
      </c>
      <c r="D381" s="349"/>
      <c r="E381" s="349"/>
      <c r="F381" s="350"/>
      <c r="G381" s="350"/>
      <c r="H381" s="351">
        <f>IF(H380&lt;1,0,IF(H380&lt;$D$57, 1, 0))</f>
        <v>0</v>
      </c>
      <c r="I381" s="351">
        <f ca="1">IF(I380&lt;1,0,IF(I380&lt;=$D$57, 1, 0))</f>
        <v>0</v>
      </c>
      <c r="J381" s="351">
        <f t="shared" ref="J381:AG381" ca="1" si="132">IF(J380&lt;1,0,IF(J380&lt;=$D$57, 1, 0))</f>
        <v>0</v>
      </c>
      <c r="K381" s="351">
        <f t="shared" ca="1" si="132"/>
        <v>0</v>
      </c>
      <c r="L381" s="351">
        <f t="shared" ca="1" si="132"/>
        <v>0</v>
      </c>
      <c r="M381" s="351">
        <f t="shared" ca="1" si="132"/>
        <v>0</v>
      </c>
      <c r="N381" s="351">
        <f t="shared" ca="1" si="132"/>
        <v>0</v>
      </c>
      <c r="O381" s="351">
        <f t="shared" ca="1" si="132"/>
        <v>0</v>
      </c>
      <c r="P381" s="351">
        <f t="shared" ca="1" si="132"/>
        <v>0</v>
      </c>
      <c r="Q381" s="351">
        <f t="shared" ca="1" si="132"/>
        <v>0</v>
      </c>
      <c r="R381" s="351">
        <f t="shared" ca="1" si="132"/>
        <v>0</v>
      </c>
      <c r="S381" s="351">
        <f t="shared" ca="1" si="132"/>
        <v>0</v>
      </c>
      <c r="T381" s="351">
        <f t="shared" ca="1" si="132"/>
        <v>0</v>
      </c>
      <c r="U381" s="351">
        <f t="shared" ca="1" si="132"/>
        <v>0</v>
      </c>
      <c r="V381" s="351">
        <f t="shared" ca="1" si="132"/>
        <v>0</v>
      </c>
      <c r="W381" s="351">
        <f t="shared" ca="1" si="132"/>
        <v>0</v>
      </c>
      <c r="X381" s="351">
        <f t="shared" ca="1" si="132"/>
        <v>0</v>
      </c>
      <c r="Y381" s="351">
        <f t="shared" ca="1" si="132"/>
        <v>0</v>
      </c>
      <c r="Z381" s="351">
        <f t="shared" ca="1" si="132"/>
        <v>0</v>
      </c>
      <c r="AA381" s="351">
        <f t="shared" ca="1" si="132"/>
        <v>0</v>
      </c>
      <c r="AB381" s="351">
        <f t="shared" ca="1" si="132"/>
        <v>0</v>
      </c>
      <c r="AC381" s="351">
        <f t="shared" ca="1" si="132"/>
        <v>0</v>
      </c>
      <c r="AD381" s="351">
        <f t="shared" ca="1" si="132"/>
        <v>0</v>
      </c>
      <c r="AE381" s="351">
        <f t="shared" ca="1" si="132"/>
        <v>0</v>
      </c>
      <c r="AF381" s="351">
        <f t="shared" ca="1" si="132"/>
        <v>0</v>
      </c>
      <c r="AG381" s="351">
        <f t="shared" ca="1" si="132"/>
        <v>0</v>
      </c>
      <c r="AH381" s="179"/>
      <c r="AI381" s="179"/>
      <c r="AJ381" s="179"/>
      <c r="AK381" s="179"/>
      <c r="AL381" s="179"/>
      <c r="AM381" s="179"/>
      <c r="AN381" s="179"/>
      <c r="AO381" s="179"/>
      <c r="AP381" s="179"/>
      <c r="AQ381" s="179"/>
      <c r="AR381" s="179"/>
      <c r="AS381" s="179"/>
      <c r="AT381" s="179"/>
      <c r="AU381" s="179"/>
      <c r="AV381" s="179"/>
      <c r="AW381" s="179"/>
      <c r="AX381" s="179"/>
      <c r="AY381" s="179"/>
      <c r="AZ381" s="179"/>
      <c r="BA381" s="179"/>
      <c r="BB381" s="179"/>
      <c r="BC381" s="179"/>
      <c r="BD381" s="179"/>
      <c r="BE381" s="179"/>
      <c r="BF381" s="179"/>
      <c r="BG381" s="179"/>
      <c r="BH381" s="179"/>
      <c r="BI381" s="179"/>
      <c r="BJ381" s="179"/>
      <c r="BK381" s="179"/>
      <c r="BL381" s="179"/>
      <c r="BM381" s="179"/>
      <c r="BN381" s="179"/>
      <c r="BO381" s="179"/>
      <c r="BP381" s="179"/>
      <c r="BQ381" s="179"/>
      <c r="BR381" s="179"/>
      <c r="BS381" s="179"/>
      <c r="BT381" s="179"/>
      <c r="BU381" s="179"/>
      <c r="BV381" s="179"/>
      <c r="BW381" s="179"/>
      <c r="BX381" s="179"/>
      <c r="BY381" s="179"/>
      <c r="BZ381" s="179"/>
      <c r="CA381" s="179"/>
      <c r="CB381" s="179"/>
      <c r="CC381" s="179"/>
      <c r="CD381" s="179"/>
      <c r="CE381" s="179"/>
      <c r="CF381" s="179"/>
      <c r="CG381" s="179"/>
      <c r="CH381" s="179"/>
      <c r="CI381" s="179"/>
      <c r="CJ381" s="179"/>
      <c r="CK381" s="179"/>
      <c r="CL381" s="179"/>
      <c r="CM381" s="179"/>
      <c r="CN381" s="179"/>
      <c r="CO381" s="179"/>
      <c r="CP381" s="179"/>
      <c r="CQ381" s="179"/>
      <c r="CR381" s="179"/>
      <c r="CS381" s="179"/>
      <c r="CT381" s="179"/>
      <c r="CU381" s="179"/>
    </row>
    <row r="382" spans="1:99" s="160" customFormat="1" ht="14.5" customHeight="1" outlineLevel="1" thickBot="1">
      <c r="A382" s="179"/>
      <c r="B382" s="352"/>
      <c r="C382" s="353" t="s">
        <v>461</v>
      </c>
      <c r="D382" s="281"/>
      <c r="E382" s="281"/>
      <c r="F382" s="179"/>
      <c r="G382" s="179"/>
      <c r="H382" s="354">
        <f t="shared" ref="H382:AG382" si="133">H1</f>
        <v>0</v>
      </c>
      <c r="I382" s="354">
        <f t="shared" si="133"/>
        <v>1</v>
      </c>
      <c r="J382" s="354">
        <f t="shared" si="133"/>
        <v>2</v>
      </c>
      <c r="K382" s="354">
        <f t="shared" si="133"/>
        <v>3</v>
      </c>
      <c r="L382" s="354">
        <f t="shared" si="133"/>
        <v>4</v>
      </c>
      <c r="M382" s="354">
        <f t="shared" si="133"/>
        <v>5</v>
      </c>
      <c r="N382" s="354">
        <f t="shared" si="133"/>
        <v>6</v>
      </c>
      <c r="O382" s="354">
        <f t="shared" si="133"/>
        <v>7</v>
      </c>
      <c r="P382" s="354">
        <f t="shared" si="133"/>
        <v>8</v>
      </c>
      <c r="Q382" s="354">
        <f t="shared" si="133"/>
        <v>9</v>
      </c>
      <c r="R382" s="354">
        <f t="shared" si="133"/>
        <v>10</v>
      </c>
      <c r="S382" s="354">
        <f t="shared" si="133"/>
        <v>11</v>
      </c>
      <c r="T382" s="354">
        <f t="shared" si="133"/>
        <v>12</v>
      </c>
      <c r="U382" s="354">
        <f t="shared" si="133"/>
        <v>13</v>
      </c>
      <c r="V382" s="354">
        <f t="shared" si="133"/>
        <v>14</v>
      </c>
      <c r="W382" s="354">
        <f t="shared" si="133"/>
        <v>15</v>
      </c>
      <c r="X382" s="354">
        <f t="shared" si="133"/>
        <v>16</v>
      </c>
      <c r="Y382" s="354">
        <f t="shared" si="133"/>
        <v>17</v>
      </c>
      <c r="Z382" s="354">
        <f t="shared" si="133"/>
        <v>18</v>
      </c>
      <c r="AA382" s="354">
        <f t="shared" si="133"/>
        <v>19</v>
      </c>
      <c r="AB382" s="354">
        <f t="shared" si="133"/>
        <v>20</v>
      </c>
      <c r="AC382" s="354">
        <f t="shared" si="133"/>
        <v>21</v>
      </c>
      <c r="AD382" s="354">
        <f t="shared" si="133"/>
        <v>22</v>
      </c>
      <c r="AE382" s="354">
        <f t="shared" si="133"/>
        <v>23</v>
      </c>
      <c r="AF382" s="354">
        <f t="shared" si="133"/>
        <v>24</v>
      </c>
      <c r="AG382" s="354">
        <f t="shared" si="133"/>
        <v>25</v>
      </c>
      <c r="AH382" s="179"/>
      <c r="AI382" s="179"/>
      <c r="AJ382" s="179"/>
      <c r="AK382" s="179"/>
      <c r="AL382" s="179"/>
      <c r="AM382" s="179"/>
      <c r="AN382" s="179"/>
      <c r="AO382" s="179"/>
      <c r="AP382" s="179"/>
      <c r="AQ382" s="179"/>
      <c r="AR382" s="179"/>
      <c r="AS382" s="179"/>
      <c r="AT382" s="179"/>
      <c r="AU382" s="179"/>
      <c r="AV382" s="179"/>
      <c r="AW382" s="179"/>
      <c r="AX382" s="179"/>
      <c r="AY382" s="179"/>
      <c r="AZ382" s="179"/>
      <c r="BA382" s="179"/>
      <c r="BB382" s="179"/>
      <c r="BC382" s="179"/>
      <c r="BD382" s="179"/>
      <c r="BE382" s="179"/>
      <c r="BF382" s="179"/>
      <c r="BG382" s="179"/>
      <c r="BH382" s="179"/>
      <c r="BI382" s="179"/>
      <c r="BJ382" s="179"/>
      <c r="BK382" s="179"/>
      <c r="BL382" s="179"/>
      <c r="BM382" s="179"/>
      <c r="BN382" s="179"/>
      <c r="BO382" s="179"/>
      <c r="BP382" s="179"/>
      <c r="BQ382" s="179"/>
      <c r="BR382" s="179"/>
      <c r="BS382" s="179"/>
      <c r="BT382" s="179"/>
      <c r="BU382" s="179"/>
      <c r="BV382" s="179"/>
      <c r="BW382" s="179"/>
      <c r="BX382" s="179"/>
      <c r="BY382" s="179"/>
      <c r="BZ382" s="179"/>
      <c r="CA382" s="179"/>
      <c r="CB382" s="179"/>
      <c r="CC382" s="179"/>
      <c r="CD382" s="179"/>
      <c r="CE382" s="179"/>
      <c r="CF382" s="179"/>
      <c r="CG382" s="179"/>
      <c r="CH382" s="179"/>
      <c r="CI382" s="179"/>
      <c r="CJ382" s="179"/>
      <c r="CK382" s="179"/>
      <c r="CL382" s="179"/>
      <c r="CM382" s="179"/>
      <c r="CN382" s="179"/>
      <c r="CO382" s="179"/>
      <c r="CP382" s="179"/>
      <c r="CQ382" s="179"/>
      <c r="CR382" s="179"/>
      <c r="CS382" s="179"/>
      <c r="CT382" s="179"/>
      <c r="CU382" s="179"/>
    </row>
    <row r="383" spans="1:99" s="160" customFormat="1" ht="14.5" customHeight="1" outlineLevel="1" thickBot="1">
      <c r="A383" s="179"/>
      <c r="B383" s="186"/>
      <c r="C383" s="337" t="s">
        <v>462</v>
      </c>
      <c r="D383" s="338"/>
      <c r="E383" s="338"/>
      <c r="F383" s="346"/>
      <c r="G383" s="346"/>
      <c r="H383" s="231">
        <v>0</v>
      </c>
      <c r="I383" s="231">
        <f t="shared" ref="I383:AG383" ca="1" si="134">OFFSET(I382,0,-$D$50)</f>
        <v>1</v>
      </c>
      <c r="J383" s="231">
        <f t="shared" ca="1" si="134"/>
        <v>2</v>
      </c>
      <c r="K383" s="231">
        <f t="shared" ca="1" si="134"/>
        <v>3</v>
      </c>
      <c r="L383" s="231">
        <f t="shared" ca="1" si="134"/>
        <v>4</v>
      </c>
      <c r="M383" s="231">
        <f t="shared" ca="1" si="134"/>
        <v>5</v>
      </c>
      <c r="N383" s="231">
        <f t="shared" ca="1" si="134"/>
        <v>6</v>
      </c>
      <c r="O383" s="231">
        <f t="shared" ca="1" si="134"/>
        <v>7</v>
      </c>
      <c r="P383" s="231">
        <f t="shared" ca="1" si="134"/>
        <v>8</v>
      </c>
      <c r="Q383" s="231">
        <f t="shared" ca="1" si="134"/>
        <v>9</v>
      </c>
      <c r="R383" s="231">
        <f t="shared" ca="1" si="134"/>
        <v>10</v>
      </c>
      <c r="S383" s="231">
        <f t="shared" ca="1" si="134"/>
        <v>11</v>
      </c>
      <c r="T383" s="231">
        <f t="shared" ca="1" si="134"/>
        <v>12</v>
      </c>
      <c r="U383" s="231">
        <f t="shared" ca="1" si="134"/>
        <v>13</v>
      </c>
      <c r="V383" s="231">
        <f t="shared" ca="1" si="134"/>
        <v>14</v>
      </c>
      <c r="W383" s="231">
        <f t="shared" ca="1" si="134"/>
        <v>15</v>
      </c>
      <c r="X383" s="231">
        <f t="shared" ca="1" si="134"/>
        <v>16</v>
      </c>
      <c r="Y383" s="231">
        <f t="shared" ca="1" si="134"/>
        <v>17</v>
      </c>
      <c r="Z383" s="231">
        <f t="shared" ca="1" si="134"/>
        <v>18</v>
      </c>
      <c r="AA383" s="231">
        <f t="shared" ca="1" si="134"/>
        <v>19</v>
      </c>
      <c r="AB383" s="231">
        <f t="shared" ca="1" si="134"/>
        <v>20</v>
      </c>
      <c r="AC383" s="231">
        <f t="shared" ca="1" si="134"/>
        <v>21</v>
      </c>
      <c r="AD383" s="231">
        <f t="shared" ca="1" si="134"/>
        <v>22</v>
      </c>
      <c r="AE383" s="231">
        <f t="shared" ca="1" si="134"/>
        <v>23</v>
      </c>
      <c r="AF383" s="231">
        <f t="shared" ca="1" si="134"/>
        <v>24</v>
      </c>
      <c r="AG383" s="231">
        <f t="shared" ca="1" si="134"/>
        <v>25</v>
      </c>
      <c r="AH383" s="179"/>
      <c r="AI383" s="179"/>
      <c r="AJ383" s="179"/>
      <c r="AK383" s="179"/>
      <c r="AL383" s="179"/>
      <c r="AM383" s="179"/>
      <c r="AN383" s="179"/>
      <c r="AO383" s="179"/>
      <c r="AP383" s="179"/>
      <c r="AQ383" s="179"/>
      <c r="AR383" s="179"/>
      <c r="AS383" s="179"/>
      <c r="AT383" s="179"/>
      <c r="AU383" s="179"/>
      <c r="AV383" s="179"/>
      <c r="AW383" s="179"/>
      <c r="AX383" s="179"/>
      <c r="AY383" s="179"/>
      <c r="AZ383" s="179"/>
      <c r="BA383" s="179"/>
      <c r="BB383" s="179"/>
      <c r="BC383" s="179"/>
      <c r="BD383" s="179"/>
      <c r="BE383" s="179"/>
      <c r="BF383" s="179"/>
      <c r="BG383" s="179"/>
      <c r="BH383" s="179"/>
      <c r="BI383" s="179"/>
      <c r="BJ383" s="179"/>
      <c r="BK383" s="179"/>
      <c r="BL383" s="179"/>
      <c r="BM383" s="179"/>
      <c r="BN383" s="179"/>
      <c r="BO383" s="179"/>
      <c r="BP383" s="179"/>
      <c r="BQ383" s="179"/>
      <c r="BR383" s="179"/>
      <c r="BS383" s="179"/>
      <c r="BT383" s="179"/>
      <c r="BU383" s="179"/>
      <c r="BV383" s="179"/>
      <c r="BW383" s="179"/>
      <c r="BX383" s="179"/>
      <c r="BY383" s="179"/>
      <c r="BZ383" s="179"/>
      <c r="CA383" s="179"/>
      <c r="CB383" s="179"/>
      <c r="CC383" s="179"/>
      <c r="CD383" s="179"/>
      <c r="CE383" s="179"/>
      <c r="CF383" s="179"/>
      <c r="CG383" s="179"/>
      <c r="CH383" s="179"/>
      <c r="CI383" s="179"/>
      <c r="CJ383" s="179"/>
      <c r="CK383" s="179"/>
      <c r="CL383" s="179"/>
      <c r="CM383" s="179"/>
      <c r="CN383" s="179"/>
      <c r="CO383" s="179"/>
      <c r="CP383" s="179"/>
      <c r="CQ383" s="179"/>
      <c r="CR383" s="179"/>
      <c r="CS383" s="179"/>
      <c r="CT383" s="179"/>
      <c r="CU383" s="179"/>
    </row>
    <row r="384" spans="1:99" s="160" customFormat="1" ht="14.5" customHeight="1" outlineLevel="1">
      <c r="A384" s="179"/>
      <c r="B384" s="355"/>
      <c r="C384" s="356" t="s">
        <v>462</v>
      </c>
      <c r="D384" s="357"/>
      <c r="E384" s="357"/>
      <c r="F384" s="358"/>
      <c r="G384" s="358"/>
      <c r="H384" s="351">
        <f t="shared" ref="H384" si="135">IF(H383&lt;1,0,IF(H383&lt;$D$51, 1, 0))</f>
        <v>0</v>
      </c>
      <c r="I384" s="351">
        <f ca="1">IF(I383&lt;1,0,IF(I383&lt;=$D$51, 1, 0))</f>
        <v>1</v>
      </c>
      <c r="J384" s="351">
        <f t="shared" ref="J384:AG384" ca="1" si="136">IF(J383&lt;1,0,IF(J383&lt;=$D$51, 1, 0))</f>
        <v>1</v>
      </c>
      <c r="K384" s="351">
        <f t="shared" ca="1" si="136"/>
        <v>1</v>
      </c>
      <c r="L384" s="351">
        <f t="shared" ca="1" si="136"/>
        <v>1</v>
      </c>
      <c r="M384" s="351">
        <f t="shared" ca="1" si="136"/>
        <v>1</v>
      </c>
      <c r="N384" s="351">
        <f t="shared" ca="1" si="136"/>
        <v>0</v>
      </c>
      <c r="O384" s="351">
        <f t="shared" ca="1" si="136"/>
        <v>0</v>
      </c>
      <c r="P384" s="351">
        <f t="shared" ca="1" si="136"/>
        <v>0</v>
      </c>
      <c r="Q384" s="351">
        <f t="shared" ca="1" si="136"/>
        <v>0</v>
      </c>
      <c r="R384" s="351">
        <f t="shared" ca="1" si="136"/>
        <v>0</v>
      </c>
      <c r="S384" s="351">
        <f t="shared" ca="1" si="136"/>
        <v>0</v>
      </c>
      <c r="T384" s="351">
        <f t="shared" ca="1" si="136"/>
        <v>0</v>
      </c>
      <c r="U384" s="351">
        <f t="shared" ca="1" si="136"/>
        <v>0</v>
      </c>
      <c r="V384" s="351">
        <f t="shared" ca="1" si="136"/>
        <v>0</v>
      </c>
      <c r="W384" s="351">
        <f t="shared" ca="1" si="136"/>
        <v>0</v>
      </c>
      <c r="X384" s="351">
        <f t="shared" ca="1" si="136"/>
        <v>0</v>
      </c>
      <c r="Y384" s="351">
        <f t="shared" ca="1" si="136"/>
        <v>0</v>
      </c>
      <c r="Z384" s="351">
        <f t="shared" ca="1" si="136"/>
        <v>0</v>
      </c>
      <c r="AA384" s="351">
        <f t="shared" ca="1" si="136"/>
        <v>0</v>
      </c>
      <c r="AB384" s="351">
        <f t="shared" ca="1" si="136"/>
        <v>0</v>
      </c>
      <c r="AC384" s="351">
        <f t="shared" ca="1" si="136"/>
        <v>0</v>
      </c>
      <c r="AD384" s="351">
        <f t="shared" ca="1" si="136"/>
        <v>0</v>
      </c>
      <c r="AE384" s="351">
        <f t="shared" ca="1" si="136"/>
        <v>0</v>
      </c>
      <c r="AF384" s="351">
        <f t="shared" ca="1" si="136"/>
        <v>0</v>
      </c>
      <c r="AG384" s="351">
        <f t="shared" ca="1" si="136"/>
        <v>0</v>
      </c>
      <c r="AH384" s="179"/>
      <c r="AI384" s="179"/>
      <c r="AJ384" s="179"/>
      <c r="AK384" s="179"/>
      <c r="AL384" s="179"/>
      <c r="AM384" s="179"/>
      <c r="AN384" s="179"/>
      <c r="AO384" s="179"/>
      <c r="AP384" s="179"/>
      <c r="AQ384" s="179"/>
      <c r="AR384" s="179"/>
      <c r="AS384" s="179"/>
      <c r="AT384" s="179"/>
      <c r="AU384" s="179"/>
      <c r="AV384" s="179"/>
      <c r="AW384" s="179"/>
      <c r="AX384" s="179"/>
      <c r="AY384" s="179"/>
      <c r="AZ384" s="179"/>
      <c r="BA384" s="179"/>
      <c r="BB384" s="179"/>
      <c r="BC384" s="179"/>
      <c r="BD384" s="179"/>
      <c r="BE384" s="179"/>
      <c r="BF384" s="179"/>
      <c r="BG384" s="179"/>
      <c r="BH384" s="179"/>
      <c r="BI384" s="179"/>
      <c r="BJ384" s="179"/>
      <c r="BK384" s="179"/>
      <c r="BL384" s="179"/>
      <c r="BM384" s="179"/>
      <c r="BN384" s="179"/>
      <c r="BO384" s="179"/>
      <c r="BP384" s="179"/>
      <c r="BQ384" s="179"/>
      <c r="BR384" s="179"/>
      <c r="BS384" s="179"/>
      <c r="BT384" s="179"/>
      <c r="BU384" s="179"/>
      <c r="BV384" s="179"/>
      <c r="BW384" s="179"/>
      <c r="BX384" s="179"/>
      <c r="BY384" s="179"/>
      <c r="BZ384" s="179"/>
      <c r="CA384" s="179"/>
      <c r="CB384" s="179"/>
      <c r="CC384" s="179"/>
      <c r="CD384" s="179"/>
      <c r="CE384" s="179"/>
      <c r="CF384" s="179"/>
      <c r="CG384" s="179"/>
      <c r="CH384" s="179"/>
      <c r="CI384" s="179"/>
      <c r="CJ384" s="179"/>
      <c r="CK384" s="179"/>
      <c r="CL384" s="179"/>
      <c r="CM384" s="179"/>
      <c r="CN384" s="179"/>
      <c r="CO384" s="179"/>
      <c r="CP384" s="179"/>
      <c r="CQ384" s="179"/>
      <c r="CR384" s="179"/>
      <c r="CS384" s="179"/>
      <c r="CT384" s="179"/>
      <c r="CU384" s="179"/>
    </row>
    <row r="385" spans="1:99" s="160" customFormat="1" ht="14.5" outlineLevel="1" thickBot="1">
      <c r="A385" s="179"/>
      <c r="B385" s="327"/>
      <c r="C385" s="327" t="s">
        <v>463</v>
      </c>
      <c r="D385" s="222"/>
      <c r="E385" s="222"/>
      <c r="F385" s="359"/>
      <c r="G385" s="359"/>
      <c r="H385" s="360">
        <f>H265</f>
        <v>62303.235714285714</v>
      </c>
      <c r="AH385" s="179"/>
      <c r="AI385" s="179"/>
      <c r="AJ385" s="179"/>
      <c r="AK385" s="179"/>
      <c r="AL385" s="179"/>
      <c r="AM385" s="179"/>
      <c r="AN385" s="179"/>
      <c r="AO385" s="179"/>
      <c r="AP385" s="179"/>
      <c r="AQ385" s="179"/>
      <c r="AR385" s="179"/>
      <c r="AS385" s="179"/>
      <c r="AT385" s="179"/>
      <c r="AU385" s="179"/>
      <c r="AV385" s="179"/>
      <c r="AW385" s="179"/>
      <c r="AX385" s="179"/>
      <c r="AY385" s="179"/>
      <c r="AZ385" s="179"/>
      <c r="BA385" s="179"/>
      <c r="BB385" s="179"/>
      <c r="BC385" s="179"/>
      <c r="BD385" s="179"/>
      <c r="BE385" s="179"/>
      <c r="BF385" s="179"/>
      <c r="BG385" s="179"/>
      <c r="BH385" s="179"/>
      <c r="BI385" s="179"/>
      <c r="BJ385" s="179"/>
      <c r="BK385" s="179"/>
      <c r="BL385" s="179"/>
      <c r="BM385" s="179"/>
      <c r="BN385" s="179"/>
      <c r="BO385" s="179"/>
      <c r="BP385" s="179"/>
      <c r="BQ385" s="179"/>
      <c r="BR385" s="179"/>
      <c r="BS385" s="179"/>
      <c r="BT385" s="179"/>
      <c r="BU385" s="179"/>
      <c r="BV385" s="179"/>
      <c r="BW385" s="179"/>
      <c r="BX385" s="179"/>
      <c r="BY385" s="179"/>
      <c r="BZ385" s="179"/>
      <c r="CA385" s="179"/>
      <c r="CB385" s="179"/>
      <c r="CC385" s="179"/>
      <c r="CD385" s="179"/>
      <c r="CE385" s="179"/>
      <c r="CF385" s="179"/>
      <c r="CG385" s="179"/>
      <c r="CH385" s="179"/>
      <c r="CI385" s="179"/>
      <c r="CJ385" s="179"/>
      <c r="CK385" s="179"/>
      <c r="CL385" s="179"/>
      <c r="CM385" s="179"/>
      <c r="CN385" s="179"/>
      <c r="CO385" s="179"/>
      <c r="CP385" s="179"/>
      <c r="CQ385" s="179"/>
      <c r="CR385" s="179"/>
      <c r="CS385" s="179"/>
      <c r="CT385" s="179"/>
      <c r="CU385" s="179"/>
    </row>
    <row r="386" spans="1:99" s="160" customFormat="1" ht="14.5" customHeight="1" outlineLevel="1" thickBot="1">
      <c r="A386" s="179"/>
      <c r="B386" s="186"/>
      <c r="C386" s="337" t="s">
        <v>277</v>
      </c>
      <c r="D386" s="338"/>
      <c r="E386" s="338"/>
      <c r="F386" s="346"/>
      <c r="G386" s="346"/>
      <c r="H386" s="150">
        <f>H152</f>
        <v>31151.617857142857</v>
      </c>
      <c r="AH386" s="179"/>
      <c r="AI386" s="179"/>
      <c r="AJ386" s="179"/>
      <c r="AK386" s="179"/>
      <c r="AL386" s="179"/>
      <c r="AM386" s="179"/>
      <c r="AN386" s="179"/>
      <c r="AO386" s="179"/>
      <c r="AP386" s="179"/>
      <c r="AQ386" s="179"/>
      <c r="AR386" s="179"/>
      <c r="AS386" s="179"/>
      <c r="AT386" s="179"/>
      <c r="AU386" s="179"/>
      <c r="AV386" s="179"/>
      <c r="AW386" s="179"/>
      <c r="AX386" s="179"/>
      <c r="AY386" s="179"/>
      <c r="AZ386" s="179"/>
      <c r="BA386" s="179"/>
      <c r="BB386" s="179"/>
      <c r="BC386" s="179"/>
      <c r="BD386" s="179"/>
      <c r="BE386" s="179"/>
      <c r="BF386" s="179"/>
      <c r="BG386" s="179"/>
      <c r="BH386" s="179"/>
      <c r="BI386" s="179"/>
      <c r="BJ386" s="179"/>
      <c r="BK386" s="179"/>
      <c r="BL386" s="179"/>
      <c r="BM386" s="179"/>
      <c r="BN386" s="179"/>
      <c r="BO386" s="179"/>
      <c r="BP386" s="179"/>
      <c r="BQ386" s="179"/>
      <c r="BR386" s="179"/>
      <c r="BS386" s="179"/>
      <c r="BT386" s="179"/>
      <c r="BU386" s="179"/>
      <c r="BV386" s="179"/>
      <c r="BW386" s="179"/>
      <c r="BX386" s="179"/>
      <c r="BY386" s="179"/>
      <c r="BZ386" s="179"/>
      <c r="CA386" s="179"/>
      <c r="CB386" s="179"/>
      <c r="CC386" s="179"/>
      <c r="CD386" s="179"/>
      <c r="CE386" s="179"/>
      <c r="CF386" s="179"/>
      <c r="CG386" s="179"/>
      <c r="CH386" s="179"/>
      <c r="CI386" s="179"/>
      <c r="CJ386" s="179"/>
      <c r="CK386" s="179"/>
      <c r="CL386" s="179"/>
      <c r="CM386" s="179"/>
      <c r="CN386" s="179"/>
      <c r="CO386" s="179"/>
      <c r="CP386" s="179"/>
      <c r="CQ386" s="179"/>
      <c r="CR386" s="179"/>
      <c r="CS386" s="179"/>
      <c r="CT386" s="179"/>
      <c r="CU386" s="179"/>
    </row>
    <row r="387" spans="1:99" s="160" customFormat="1" ht="14.5" customHeight="1" outlineLevel="1" thickBot="1">
      <c r="A387" s="179"/>
      <c r="B387" s="186"/>
      <c r="C387" s="337" t="s">
        <v>278</v>
      </c>
      <c r="D387" s="338"/>
      <c r="E387" s="338"/>
      <c r="F387" s="346"/>
      <c r="G387" s="346"/>
      <c r="H387" s="150">
        <f>H153</f>
        <v>0</v>
      </c>
      <c r="AH387" s="179"/>
      <c r="AI387" s="179"/>
      <c r="AJ387" s="179"/>
      <c r="AK387" s="179"/>
      <c r="AL387" s="179"/>
      <c r="AM387" s="179"/>
      <c r="AN387" s="179"/>
      <c r="AO387" s="179"/>
      <c r="AP387" s="179"/>
      <c r="AQ387" s="179"/>
      <c r="AR387" s="179"/>
      <c r="AS387" s="179"/>
      <c r="AT387" s="179"/>
      <c r="AU387" s="179"/>
      <c r="AV387" s="179"/>
      <c r="AW387" s="179"/>
      <c r="AX387" s="179"/>
      <c r="AY387" s="179"/>
      <c r="AZ387" s="179"/>
      <c r="BA387" s="179"/>
      <c r="BB387" s="179"/>
      <c r="BC387" s="179"/>
      <c r="BD387" s="179"/>
      <c r="BE387" s="179"/>
      <c r="BF387" s="179"/>
      <c r="BG387" s="179"/>
      <c r="BH387" s="179"/>
      <c r="BI387" s="179"/>
      <c r="BJ387" s="179"/>
      <c r="BK387" s="179"/>
      <c r="BL387" s="179"/>
      <c r="BM387" s="179"/>
      <c r="BN387" s="179"/>
      <c r="BO387" s="179"/>
      <c r="BP387" s="179"/>
      <c r="BQ387" s="179"/>
      <c r="BR387" s="179"/>
      <c r="BS387" s="179"/>
      <c r="BT387" s="179"/>
      <c r="BU387" s="179"/>
      <c r="BV387" s="179"/>
      <c r="BW387" s="179"/>
      <c r="BX387" s="179"/>
      <c r="BY387" s="179"/>
      <c r="BZ387" s="179"/>
      <c r="CA387" s="179"/>
      <c r="CB387" s="179"/>
      <c r="CC387" s="179"/>
      <c r="CD387" s="179"/>
      <c r="CE387" s="179"/>
      <c r="CF387" s="179"/>
      <c r="CG387" s="179"/>
      <c r="CH387" s="179"/>
      <c r="CI387" s="179"/>
      <c r="CJ387" s="179"/>
      <c r="CK387" s="179"/>
      <c r="CL387" s="179"/>
      <c r="CM387" s="179"/>
      <c r="CN387" s="179"/>
      <c r="CO387" s="179"/>
      <c r="CP387" s="179"/>
      <c r="CQ387" s="179"/>
      <c r="CR387" s="179"/>
      <c r="CS387" s="179"/>
      <c r="CT387" s="179"/>
      <c r="CU387" s="179"/>
    </row>
    <row r="388" spans="1:99" s="160" customFormat="1" ht="14.5" customHeight="1" outlineLevel="1" thickBot="1">
      <c r="A388" s="179"/>
      <c r="B388" s="186"/>
      <c r="C388" s="337" t="s">
        <v>267</v>
      </c>
      <c r="D388" s="338"/>
      <c r="E388" s="338"/>
      <c r="F388" s="346"/>
      <c r="G388" s="346"/>
      <c r="H388" s="150">
        <f>H154</f>
        <v>0</v>
      </c>
      <c r="AH388" s="179"/>
      <c r="AI388" s="179"/>
      <c r="AJ388" s="179"/>
      <c r="AK388" s="179"/>
      <c r="AL388" s="179"/>
      <c r="AM388" s="179"/>
      <c r="AN388" s="179"/>
      <c r="AO388" s="179"/>
      <c r="AP388" s="179"/>
      <c r="AQ388" s="179"/>
      <c r="AR388" s="179"/>
      <c r="AS388" s="179"/>
      <c r="AT388" s="179"/>
      <c r="AU388" s="179"/>
      <c r="AV388" s="179"/>
      <c r="AW388" s="179"/>
      <c r="AX388" s="179"/>
      <c r="AY388" s="179"/>
      <c r="AZ388" s="179"/>
      <c r="BA388" s="179"/>
      <c r="BB388" s="179"/>
      <c r="BC388" s="179"/>
      <c r="BD388" s="179"/>
      <c r="BE388" s="179"/>
      <c r="BF388" s="179"/>
      <c r="BG388" s="179"/>
      <c r="BH388" s="179"/>
      <c r="BI388" s="179"/>
      <c r="BJ388" s="179"/>
      <c r="BK388" s="179"/>
      <c r="BL388" s="179"/>
      <c r="BM388" s="179"/>
      <c r="BN388" s="179"/>
      <c r="BO388" s="179"/>
      <c r="BP388" s="179"/>
      <c r="BQ388" s="179"/>
      <c r="BR388" s="179"/>
      <c r="BS388" s="179"/>
      <c r="BT388" s="179"/>
      <c r="BU388" s="179"/>
      <c r="BV388" s="179"/>
      <c r="BW388" s="179"/>
      <c r="BX388" s="179"/>
      <c r="BY388" s="179"/>
      <c r="BZ388" s="179"/>
      <c r="CA388" s="179"/>
      <c r="CB388" s="179"/>
      <c r="CC388" s="179"/>
      <c r="CD388" s="179"/>
      <c r="CE388" s="179"/>
      <c r="CF388" s="179"/>
      <c r="CG388" s="179"/>
      <c r="CH388" s="179"/>
      <c r="CI388" s="179"/>
      <c r="CJ388" s="179"/>
      <c r="CK388" s="179"/>
      <c r="CL388" s="179"/>
      <c r="CM388" s="179"/>
      <c r="CN388" s="179"/>
      <c r="CO388" s="179"/>
      <c r="CP388" s="179"/>
      <c r="CQ388" s="179"/>
      <c r="CR388" s="179"/>
      <c r="CS388" s="179"/>
      <c r="CT388" s="179"/>
      <c r="CU388" s="179"/>
    </row>
    <row r="389" spans="1:99" s="160" customFormat="1" ht="14.5" customHeight="1" outlineLevel="1">
      <c r="A389" s="179"/>
      <c r="B389" s="347"/>
      <c r="C389" s="348" t="s">
        <v>343</v>
      </c>
      <c r="D389" s="349"/>
      <c r="E389" s="349"/>
      <c r="F389" s="350"/>
      <c r="G389" s="350"/>
      <c r="H389" s="167">
        <f>H155</f>
        <v>0</v>
      </c>
      <c r="I389" s="161"/>
      <c r="J389" s="161"/>
      <c r="K389" s="161"/>
      <c r="L389" s="161"/>
      <c r="M389" s="161"/>
      <c r="N389" s="161"/>
      <c r="O389" s="161"/>
      <c r="P389" s="161"/>
      <c r="Q389" s="161"/>
      <c r="R389" s="161"/>
      <c r="S389" s="161"/>
      <c r="T389" s="161"/>
      <c r="U389" s="161"/>
      <c r="V389" s="161"/>
      <c r="W389" s="161"/>
      <c r="X389" s="161"/>
      <c r="Y389" s="161"/>
      <c r="Z389" s="161"/>
      <c r="AA389" s="161"/>
      <c r="AB389" s="161"/>
      <c r="AC389" s="161"/>
      <c r="AD389" s="161"/>
      <c r="AE389" s="161"/>
      <c r="AF389" s="161"/>
      <c r="AG389" s="161"/>
      <c r="AH389" s="179"/>
      <c r="AI389" s="179"/>
      <c r="AJ389" s="179"/>
      <c r="AK389" s="179"/>
      <c r="AL389" s="179"/>
      <c r="AM389" s="179"/>
      <c r="AN389" s="179"/>
      <c r="AO389" s="179"/>
      <c r="AP389" s="179"/>
      <c r="AQ389" s="179"/>
      <c r="AR389" s="179"/>
      <c r="AS389" s="179"/>
      <c r="AT389" s="179"/>
      <c r="AU389" s="179"/>
      <c r="AV389" s="179"/>
      <c r="AW389" s="179"/>
      <c r="AX389" s="179"/>
      <c r="AY389" s="179"/>
      <c r="AZ389" s="179"/>
      <c r="BA389" s="179"/>
      <c r="BB389" s="179"/>
      <c r="BC389" s="179"/>
      <c r="BD389" s="179"/>
      <c r="BE389" s="179"/>
      <c r="BF389" s="179"/>
      <c r="BG389" s="179"/>
      <c r="BH389" s="179"/>
      <c r="BI389" s="179"/>
      <c r="BJ389" s="179"/>
      <c r="BK389" s="179"/>
      <c r="BL389" s="179"/>
      <c r="BM389" s="179"/>
      <c r="BN389" s="179"/>
      <c r="BO389" s="179"/>
      <c r="BP389" s="179"/>
      <c r="BQ389" s="179"/>
      <c r="BR389" s="179"/>
      <c r="BS389" s="179"/>
      <c r="BT389" s="179"/>
      <c r="BU389" s="179"/>
      <c r="BV389" s="179"/>
      <c r="BW389" s="179"/>
      <c r="BX389" s="179"/>
      <c r="BY389" s="179"/>
      <c r="BZ389" s="179"/>
      <c r="CA389" s="179"/>
      <c r="CB389" s="179"/>
      <c r="CC389" s="179"/>
      <c r="CD389" s="179"/>
      <c r="CE389" s="179"/>
      <c r="CF389" s="179"/>
      <c r="CG389" s="179"/>
      <c r="CH389" s="179"/>
      <c r="CI389" s="179"/>
      <c r="CJ389" s="179"/>
      <c r="CK389" s="179"/>
      <c r="CL389" s="179"/>
      <c r="CM389" s="179"/>
      <c r="CN389" s="179"/>
      <c r="CO389" s="179"/>
      <c r="CP389" s="179"/>
      <c r="CQ389" s="179"/>
      <c r="CR389" s="179"/>
      <c r="CS389" s="179"/>
      <c r="CT389" s="179"/>
      <c r="CU389" s="179"/>
    </row>
    <row r="390" spans="1:99" s="160" customFormat="1" ht="14.5" customHeight="1" outlineLevel="1" thickBot="1">
      <c r="A390" s="179"/>
      <c r="B390" s="352"/>
      <c r="C390" s="353" t="s">
        <v>464</v>
      </c>
      <c r="D390" s="281"/>
      <c r="E390" s="281"/>
      <c r="F390" s="179"/>
      <c r="G390" s="179"/>
      <c r="H390" s="360">
        <f>H389</f>
        <v>0</v>
      </c>
      <c r="I390" s="360">
        <f>IF(I379=0,$H$389,H390-H391)</f>
        <v>0</v>
      </c>
      <c r="J390" s="360">
        <f t="shared" ref="J390:AG390" ca="1" si="137">IF(J379=0,$H$389,I390-I391)</f>
        <v>0</v>
      </c>
      <c r="K390" s="360">
        <f t="shared" ca="1" si="137"/>
        <v>0</v>
      </c>
      <c r="L390" s="360">
        <f t="shared" ca="1" si="137"/>
        <v>0</v>
      </c>
      <c r="M390" s="360">
        <f t="shared" ca="1" si="137"/>
        <v>0</v>
      </c>
      <c r="N390" s="360">
        <f t="shared" ca="1" si="137"/>
        <v>0</v>
      </c>
      <c r="O390" s="360">
        <f t="shared" ca="1" si="137"/>
        <v>0</v>
      </c>
      <c r="P390" s="360">
        <f t="shared" ca="1" si="137"/>
        <v>0</v>
      </c>
      <c r="Q390" s="360">
        <f t="shared" ca="1" si="137"/>
        <v>0</v>
      </c>
      <c r="R390" s="360">
        <f t="shared" ca="1" si="137"/>
        <v>0</v>
      </c>
      <c r="S390" s="360">
        <f t="shared" ca="1" si="137"/>
        <v>0</v>
      </c>
      <c r="T390" s="360">
        <f t="shared" ca="1" si="137"/>
        <v>0</v>
      </c>
      <c r="U390" s="360">
        <f t="shared" ca="1" si="137"/>
        <v>0</v>
      </c>
      <c r="V390" s="360">
        <f t="shared" ca="1" si="137"/>
        <v>0</v>
      </c>
      <c r="W390" s="360">
        <f t="shared" ca="1" si="137"/>
        <v>0</v>
      </c>
      <c r="X390" s="360">
        <f t="shared" ca="1" si="137"/>
        <v>0</v>
      </c>
      <c r="Y390" s="360">
        <f t="shared" ca="1" si="137"/>
        <v>0</v>
      </c>
      <c r="Z390" s="360">
        <f t="shared" ca="1" si="137"/>
        <v>0</v>
      </c>
      <c r="AA390" s="360">
        <f t="shared" ca="1" si="137"/>
        <v>0</v>
      </c>
      <c r="AB390" s="360">
        <f t="shared" ca="1" si="137"/>
        <v>0</v>
      </c>
      <c r="AC390" s="360">
        <f t="shared" ca="1" si="137"/>
        <v>0</v>
      </c>
      <c r="AD390" s="360">
        <f t="shared" ca="1" si="137"/>
        <v>0</v>
      </c>
      <c r="AE390" s="360">
        <f t="shared" ca="1" si="137"/>
        <v>0</v>
      </c>
      <c r="AF390" s="360">
        <f t="shared" ca="1" si="137"/>
        <v>0</v>
      </c>
      <c r="AG390" s="360">
        <f t="shared" ca="1" si="137"/>
        <v>0</v>
      </c>
      <c r="AH390" s="179"/>
      <c r="AI390" s="179"/>
      <c r="AJ390" s="179"/>
      <c r="AK390" s="179"/>
      <c r="AL390" s="179"/>
      <c r="AM390" s="179"/>
      <c r="AN390" s="179"/>
      <c r="AO390" s="179"/>
      <c r="AP390" s="179"/>
      <c r="AQ390" s="179"/>
      <c r="AR390" s="179"/>
      <c r="AS390" s="179"/>
      <c r="AT390" s="179"/>
      <c r="AU390" s="179"/>
      <c r="AV390" s="179"/>
      <c r="AW390" s="179"/>
      <c r="AX390" s="179"/>
      <c r="AY390" s="179"/>
      <c r="AZ390" s="179"/>
      <c r="BA390" s="179"/>
      <c r="BB390" s="179"/>
      <c r="BC390" s="179"/>
      <c r="BD390" s="179"/>
      <c r="BE390" s="179"/>
      <c r="BF390" s="179"/>
      <c r="BG390" s="179"/>
      <c r="BH390" s="179"/>
      <c r="BI390" s="179"/>
      <c r="BJ390" s="179"/>
      <c r="BK390" s="179"/>
      <c r="BL390" s="179"/>
      <c r="BM390" s="179"/>
      <c r="BN390" s="179"/>
      <c r="BO390" s="179"/>
      <c r="BP390" s="179"/>
      <c r="BQ390" s="179"/>
      <c r="BR390" s="179"/>
      <c r="BS390" s="179"/>
      <c r="BT390" s="179"/>
      <c r="BU390" s="179"/>
      <c r="BV390" s="179"/>
      <c r="BW390" s="179"/>
      <c r="BX390" s="179"/>
      <c r="BY390" s="179"/>
      <c r="BZ390" s="179"/>
      <c r="CA390" s="179"/>
      <c r="CB390" s="179"/>
      <c r="CC390" s="179"/>
      <c r="CD390" s="179"/>
      <c r="CE390" s="179"/>
      <c r="CF390" s="179"/>
      <c r="CG390" s="179"/>
      <c r="CH390" s="179"/>
      <c r="CI390" s="179"/>
      <c r="CJ390" s="179"/>
      <c r="CK390" s="179"/>
      <c r="CL390" s="179"/>
      <c r="CM390" s="179"/>
      <c r="CN390" s="179"/>
      <c r="CO390" s="179"/>
      <c r="CP390" s="179"/>
      <c r="CQ390" s="179"/>
      <c r="CR390" s="179"/>
      <c r="CS390" s="179"/>
      <c r="CT390" s="179"/>
      <c r="CU390" s="179"/>
    </row>
    <row r="391" spans="1:99" s="160" customFormat="1" ht="14.5" customHeight="1" outlineLevel="1" thickBot="1">
      <c r="A391" s="179"/>
      <c r="B391" s="186"/>
      <c r="C391" s="337" t="s">
        <v>465</v>
      </c>
      <c r="D391" s="338"/>
      <c r="E391" s="338"/>
      <c r="F391" s="346"/>
      <c r="G391" s="346"/>
      <c r="H391" s="150"/>
      <c r="I391" s="150">
        <f t="shared" ref="I391:AG391" ca="1" si="138">IF(I381=0, 0,IF(I380&gt; $D$57-$D$56,0,(-PPMT($D$58,I380,$D$57-$D$56,$H$390)*I381)))</f>
        <v>0</v>
      </c>
      <c r="J391" s="150">
        <f t="shared" ca="1" si="138"/>
        <v>0</v>
      </c>
      <c r="K391" s="150">
        <f t="shared" ca="1" si="138"/>
        <v>0</v>
      </c>
      <c r="L391" s="150">
        <f t="shared" ca="1" si="138"/>
        <v>0</v>
      </c>
      <c r="M391" s="150">
        <f t="shared" ca="1" si="138"/>
        <v>0</v>
      </c>
      <c r="N391" s="150">
        <f t="shared" ca="1" si="138"/>
        <v>0</v>
      </c>
      <c r="O391" s="150">
        <f t="shared" ca="1" si="138"/>
        <v>0</v>
      </c>
      <c r="P391" s="150">
        <f t="shared" ca="1" si="138"/>
        <v>0</v>
      </c>
      <c r="Q391" s="150">
        <f t="shared" ca="1" si="138"/>
        <v>0</v>
      </c>
      <c r="R391" s="150">
        <f t="shared" ca="1" si="138"/>
        <v>0</v>
      </c>
      <c r="S391" s="150">
        <f t="shared" ca="1" si="138"/>
        <v>0</v>
      </c>
      <c r="T391" s="150">
        <f t="shared" ca="1" si="138"/>
        <v>0</v>
      </c>
      <c r="U391" s="150">
        <f t="shared" ca="1" si="138"/>
        <v>0</v>
      </c>
      <c r="V391" s="150">
        <f t="shared" ca="1" si="138"/>
        <v>0</v>
      </c>
      <c r="W391" s="150">
        <f t="shared" ca="1" si="138"/>
        <v>0</v>
      </c>
      <c r="X391" s="150">
        <f t="shared" ca="1" si="138"/>
        <v>0</v>
      </c>
      <c r="Y391" s="150">
        <f t="shared" ca="1" si="138"/>
        <v>0</v>
      </c>
      <c r="Z391" s="150">
        <f t="shared" ca="1" si="138"/>
        <v>0</v>
      </c>
      <c r="AA391" s="150">
        <f t="shared" ca="1" si="138"/>
        <v>0</v>
      </c>
      <c r="AB391" s="150">
        <f t="shared" ca="1" si="138"/>
        <v>0</v>
      </c>
      <c r="AC391" s="150">
        <f t="shared" ca="1" si="138"/>
        <v>0</v>
      </c>
      <c r="AD391" s="150">
        <f t="shared" ca="1" si="138"/>
        <v>0</v>
      </c>
      <c r="AE391" s="150">
        <f t="shared" ca="1" si="138"/>
        <v>0</v>
      </c>
      <c r="AF391" s="150">
        <f t="shared" ca="1" si="138"/>
        <v>0</v>
      </c>
      <c r="AG391" s="150">
        <f t="shared" ca="1" si="138"/>
        <v>0</v>
      </c>
      <c r="AH391" s="179"/>
      <c r="AI391" s="179"/>
      <c r="AJ391" s="179"/>
      <c r="AK391" s="179"/>
      <c r="AL391" s="179"/>
      <c r="AM391" s="179"/>
      <c r="AN391" s="179"/>
      <c r="AO391" s="179"/>
      <c r="AP391" s="179"/>
      <c r="AQ391" s="179"/>
      <c r="AR391" s="179"/>
      <c r="AS391" s="179"/>
      <c r="AT391" s="179"/>
      <c r="AU391" s="179"/>
      <c r="AV391" s="179"/>
      <c r="AW391" s="179"/>
      <c r="AX391" s="179"/>
      <c r="AY391" s="179"/>
      <c r="AZ391" s="179"/>
      <c r="BA391" s="179"/>
      <c r="BB391" s="179"/>
      <c r="BC391" s="179"/>
      <c r="BD391" s="179"/>
      <c r="BE391" s="179"/>
      <c r="BF391" s="179"/>
      <c r="BG391" s="179"/>
      <c r="BH391" s="179"/>
      <c r="BI391" s="179"/>
      <c r="BJ391" s="179"/>
      <c r="BK391" s="179"/>
      <c r="BL391" s="179"/>
      <c r="BM391" s="179"/>
      <c r="BN391" s="179"/>
      <c r="BO391" s="179"/>
      <c r="BP391" s="179"/>
      <c r="BQ391" s="179"/>
      <c r="BR391" s="179"/>
      <c r="BS391" s="179"/>
      <c r="BT391" s="179"/>
      <c r="BU391" s="179"/>
      <c r="BV391" s="179"/>
      <c r="BW391" s="179"/>
      <c r="BX391" s="179"/>
      <c r="BY391" s="179"/>
      <c r="BZ391" s="179"/>
      <c r="CA391" s="179"/>
      <c r="CB391" s="179"/>
      <c r="CC391" s="179"/>
      <c r="CD391" s="179"/>
      <c r="CE391" s="179"/>
      <c r="CF391" s="179"/>
      <c r="CG391" s="179"/>
      <c r="CH391" s="179"/>
      <c r="CI391" s="179"/>
      <c r="CJ391" s="179"/>
      <c r="CK391" s="179"/>
      <c r="CL391" s="179"/>
      <c r="CM391" s="179"/>
      <c r="CN391" s="179"/>
      <c r="CO391" s="179"/>
      <c r="CP391" s="179"/>
      <c r="CQ391" s="179"/>
      <c r="CR391" s="179"/>
      <c r="CS391" s="179"/>
      <c r="CT391" s="179"/>
      <c r="CU391" s="179"/>
    </row>
    <row r="392" spans="1:99" s="160" customFormat="1" ht="14.5" customHeight="1" outlineLevel="1">
      <c r="A392" s="179"/>
      <c r="B392" s="227"/>
      <c r="C392" s="337" t="s">
        <v>466</v>
      </c>
      <c r="D392" s="338"/>
      <c r="E392" s="338"/>
      <c r="F392" s="346"/>
      <c r="G392" s="346"/>
      <c r="H392" s="361">
        <f t="shared" ref="H392:AG392" si="139">H390-H391</f>
        <v>0</v>
      </c>
      <c r="I392" s="361">
        <f ca="1">I390-I391</f>
        <v>0</v>
      </c>
      <c r="J392" s="361">
        <f ca="1">J390-J391</f>
        <v>0</v>
      </c>
      <c r="K392" s="361">
        <f ca="1">K390-K391</f>
        <v>0</v>
      </c>
      <c r="L392" s="361">
        <f ca="1">L390-L391</f>
        <v>0</v>
      </c>
      <c r="M392" s="361">
        <f t="shared" ca="1" si="139"/>
        <v>0</v>
      </c>
      <c r="N392" s="361">
        <f t="shared" ca="1" si="139"/>
        <v>0</v>
      </c>
      <c r="O392" s="361">
        <f t="shared" ca="1" si="139"/>
        <v>0</v>
      </c>
      <c r="P392" s="361">
        <f t="shared" ca="1" si="139"/>
        <v>0</v>
      </c>
      <c r="Q392" s="361">
        <f t="shared" ca="1" si="139"/>
        <v>0</v>
      </c>
      <c r="R392" s="361">
        <f t="shared" ca="1" si="139"/>
        <v>0</v>
      </c>
      <c r="S392" s="361">
        <f t="shared" ca="1" si="139"/>
        <v>0</v>
      </c>
      <c r="T392" s="361">
        <f t="shared" ca="1" si="139"/>
        <v>0</v>
      </c>
      <c r="U392" s="361">
        <f t="shared" ca="1" si="139"/>
        <v>0</v>
      </c>
      <c r="V392" s="361">
        <f t="shared" ca="1" si="139"/>
        <v>0</v>
      </c>
      <c r="W392" s="361">
        <f t="shared" ca="1" si="139"/>
        <v>0</v>
      </c>
      <c r="X392" s="361">
        <f t="shared" ca="1" si="139"/>
        <v>0</v>
      </c>
      <c r="Y392" s="361">
        <f t="shared" ca="1" si="139"/>
        <v>0</v>
      </c>
      <c r="Z392" s="361">
        <f t="shared" ca="1" si="139"/>
        <v>0</v>
      </c>
      <c r="AA392" s="361">
        <f t="shared" ca="1" si="139"/>
        <v>0</v>
      </c>
      <c r="AB392" s="361">
        <f t="shared" ca="1" si="139"/>
        <v>0</v>
      </c>
      <c r="AC392" s="361">
        <f t="shared" ca="1" si="139"/>
        <v>0</v>
      </c>
      <c r="AD392" s="361">
        <f t="shared" ca="1" si="139"/>
        <v>0</v>
      </c>
      <c r="AE392" s="361">
        <f t="shared" ca="1" si="139"/>
        <v>0</v>
      </c>
      <c r="AF392" s="361">
        <f t="shared" ca="1" si="139"/>
        <v>0</v>
      </c>
      <c r="AG392" s="361">
        <f t="shared" ca="1" si="139"/>
        <v>0</v>
      </c>
      <c r="AH392" s="179"/>
      <c r="AI392" s="179"/>
      <c r="AJ392" s="179"/>
      <c r="AK392" s="179"/>
      <c r="AL392" s="179"/>
      <c r="AM392" s="179"/>
      <c r="AN392" s="179"/>
      <c r="AO392" s="179"/>
      <c r="AP392" s="179"/>
      <c r="AQ392" s="179"/>
      <c r="AR392" s="179"/>
      <c r="AS392" s="179"/>
      <c r="AT392" s="179"/>
      <c r="AU392" s="179"/>
      <c r="AV392" s="179"/>
      <c r="AW392" s="179"/>
      <c r="AX392" s="179"/>
      <c r="AY392" s="179"/>
      <c r="AZ392" s="179"/>
      <c r="BA392" s="179"/>
      <c r="BB392" s="179"/>
      <c r="BC392" s="179"/>
      <c r="BD392" s="179"/>
      <c r="BE392" s="179"/>
      <c r="BF392" s="179"/>
      <c r="BG392" s="179"/>
      <c r="BH392" s="179"/>
      <c r="BI392" s="179"/>
      <c r="BJ392" s="179"/>
      <c r="BK392" s="179"/>
      <c r="BL392" s="179"/>
      <c r="BM392" s="179"/>
      <c r="BN392" s="179"/>
      <c r="BO392" s="179"/>
      <c r="BP392" s="179"/>
      <c r="BQ392" s="179"/>
      <c r="BR392" s="179"/>
      <c r="BS392" s="179"/>
      <c r="BT392" s="179"/>
      <c r="BU392" s="179"/>
      <c r="BV392" s="179"/>
      <c r="BW392" s="179"/>
      <c r="BX392" s="179"/>
      <c r="BY392" s="179"/>
      <c r="BZ392" s="179"/>
      <c r="CA392" s="179"/>
      <c r="CB392" s="179"/>
      <c r="CC392" s="179"/>
      <c r="CD392" s="179"/>
      <c r="CE392" s="179"/>
      <c r="CF392" s="179"/>
      <c r="CG392" s="179"/>
      <c r="CH392" s="179"/>
      <c r="CI392" s="179"/>
      <c r="CJ392" s="179"/>
      <c r="CK392" s="179"/>
      <c r="CL392" s="179"/>
      <c r="CM392" s="179"/>
      <c r="CN392" s="179"/>
      <c r="CO392" s="179"/>
      <c r="CP392" s="179"/>
      <c r="CQ392" s="179"/>
      <c r="CR392" s="179"/>
      <c r="CS392" s="179"/>
      <c r="CT392" s="179"/>
      <c r="CU392" s="179"/>
    </row>
    <row r="393" spans="1:99" s="160" customFormat="1" outlineLevel="1">
      <c r="A393" s="179"/>
      <c r="B393" s="362"/>
      <c r="C393" s="363" t="s">
        <v>467</v>
      </c>
      <c r="D393" s="362"/>
      <c r="E393" s="362"/>
      <c r="F393" s="364"/>
      <c r="G393" s="364"/>
      <c r="H393" s="365"/>
      <c r="I393" s="365">
        <f>I390*$D$58</f>
        <v>0</v>
      </c>
      <c r="J393" s="365">
        <f t="shared" ref="J393:AG393" ca="1" si="140">J390*$D$58</f>
        <v>0</v>
      </c>
      <c r="K393" s="365">
        <f t="shared" ca="1" si="140"/>
        <v>0</v>
      </c>
      <c r="L393" s="365">
        <f t="shared" ca="1" si="140"/>
        <v>0</v>
      </c>
      <c r="M393" s="365">
        <f t="shared" ca="1" si="140"/>
        <v>0</v>
      </c>
      <c r="N393" s="365">
        <f t="shared" ca="1" si="140"/>
        <v>0</v>
      </c>
      <c r="O393" s="365">
        <f t="shared" ca="1" si="140"/>
        <v>0</v>
      </c>
      <c r="P393" s="365">
        <f t="shared" ca="1" si="140"/>
        <v>0</v>
      </c>
      <c r="Q393" s="365">
        <f t="shared" ca="1" si="140"/>
        <v>0</v>
      </c>
      <c r="R393" s="365">
        <f t="shared" ca="1" si="140"/>
        <v>0</v>
      </c>
      <c r="S393" s="365">
        <f t="shared" ca="1" si="140"/>
        <v>0</v>
      </c>
      <c r="T393" s="365">
        <f t="shared" ca="1" si="140"/>
        <v>0</v>
      </c>
      <c r="U393" s="365">
        <f t="shared" ca="1" si="140"/>
        <v>0</v>
      </c>
      <c r="V393" s="365">
        <f t="shared" ca="1" si="140"/>
        <v>0</v>
      </c>
      <c r="W393" s="365">
        <f t="shared" ca="1" si="140"/>
        <v>0</v>
      </c>
      <c r="X393" s="365">
        <f t="shared" ca="1" si="140"/>
        <v>0</v>
      </c>
      <c r="Y393" s="365">
        <f t="shared" ca="1" si="140"/>
        <v>0</v>
      </c>
      <c r="Z393" s="365">
        <f t="shared" ca="1" si="140"/>
        <v>0</v>
      </c>
      <c r="AA393" s="365">
        <f t="shared" ca="1" si="140"/>
        <v>0</v>
      </c>
      <c r="AB393" s="365">
        <f t="shared" ca="1" si="140"/>
        <v>0</v>
      </c>
      <c r="AC393" s="365">
        <f t="shared" ca="1" si="140"/>
        <v>0</v>
      </c>
      <c r="AD393" s="365">
        <f t="shared" ca="1" si="140"/>
        <v>0</v>
      </c>
      <c r="AE393" s="365">
        <f t="shared" ca="1" si="140"/>
        <v>0</v>
      </c>
      <c r="AF393" s="365">
        <f t="shared" ca="1" si="140"/>
        <v>0</v>
      </c>
      <c r="AG393" s="366">
        <f t="shared" ca="1" si="140"/>
        <v>0</v>
      </c>
      <c r="AH393" s="179"/>
      <c r="AI393" s="179"/>
      <c r="AJ393" s="179"/>
      <c r="AK393" s="179"/>
      <c r="AL393" s="179"/>
      <c r="AM393" s="179"/>
      <c r="AN393" s="179"/>
      <c r="AO393" s="179"/>
      <c r="AP393" s="179"/>
      <c r="AQ393" s="179"/>
      <c r="AR393" s="179"/>
      <c r="AS393" s="179"/>
      <c r="AT393" s="179"/>
      <c r="AU393" s="179"/>
      <c r="AV393" s="179"/>
      <c r="AW393" s="179"/>
      <c r="AX393" s="179"/>
      <c r="AY393" s="179"/>
      <c r="AZ393" s="179"/>
      <c r="BA393" s="179"/>
      <c r="BB393" s="179"/>
      <c r="BC393" s="179"/>
      <c r="BD393" s="179"/>
      <c r="BE393" s="179"/>
      <c r="BF393" s="179"/>
      <c r="BG393" s="179"/>
      <c r="BH393" s="179"/>
      <c r="BI393" s="179"/>
      <c r="BJ393" s="179"/>
      <c r="BK393" s="179"/>
      <c r="BL393" s="179"/>
      <c r="BM393" s="179"/>
      <c r="BN393" s="179"/>
      <c r="BO393" s="179"/>
      <c r="BP393" s="179"/>
      <c r="BQ393" s="179"/>
      <c r="BR393" s="179"/>
      <c r="BS393" s="179"/>
      <c r="BT393" s="179"/>
      <c r="BU393" s="179"/>
      <c r="BV393" s="179"/>
      <c r="BW393" s="179"/>
      <c r="BX393" s="179"/>
      <c r="BY393" s="179"/>
      <c r="BZ393" s="179"/>
      <c r="CA393" s="179"/>
      <c r="CB393" s="179"/>
      <c r="CC393" s="179"/>
      <c r="CD393" s="179"/>
      <c r="CE393" s="179"/>
      <c r="CF393" s="179"/>
      <c r="CG393" s="179"/>
      <c r="CH393" s="179"/>
      <c r="CI393" s="179"/>
      <c r="CJ393" s="179"/>
      <c r="CK393" s="179"/>
      <c r="CL393" s="179"/>
      <c r="CM393" s="179"/>
      <c r="CN393" s="179"/>
      <c r="CO393" s="179"/>
      <c r="CP393" s="179"/>
      <c r="CQ393" s="179"/>
      <c r="CR393" s="179"/>
      <c r="CS393" s="179"/>
      <c r="CT393" s="179"/>
      <c r="CU393" s="179"/>
    </row>
    <row r="394" spans="1:99" s="160" customFormat="1" ht="14.5" outlineLevel="1" thickBot="1">
      <c r="C394" s="110"/>
      <c r="E394" s="224"/>
      <c r="F394" s="224"/>
      <c r="G394" s="224"/>
      <c r="H394" s="224"/>
    </row>
    <row r="395" spans="1:99" s="160" customFormat="1" ht="14.5" outlineLevel="1" thickBot="1">
      <c r="B395" s="132"/>
      <c r="C395" s="132" t="s">
        <v>344</v>
      </c>
      <c r="D395" s="133"/>
      <c r="E395" s="133"/>
      <c r="F395" s="146"/>
      <c r="G395" s="146"/>
      <c r="H395" s="150">
        <f>H156</f>
        <v>31151.617857142857</v>
      </c>
      <c r="I395" s="161"/>
      <c r="J395" s="161"/>
      <c r="K395" s="161"/>
      <c r="L395" s="161"/>
      <c r="M395" s="161"/>
      <c r="N395" s="161"/>
      <c r="O395" s="161"/>
      <c r="P395" s="161"/>
      <c r="Q395" s="161"/>
      <c r="R395" s="161"/>
      <c r="S395" s="161"/>
      <c r="T395" s="161"/>
      <c r="U395" s="161"/>
      <c r="V395" s="161"/>
      <c r="W395" s="161"/>
      <c r="X395" s="161"/>
      <c r="Y395" s="161"/>
      <c r="Z395" s="161"/>
      <c r="AA395" s="161"/>
      <c r="AB395" s="161"/>
      <c r="AC395" s="161"/>
      <c r="AD395" s="161"/>
      <c r="AE395" s="161"/>
      <c r="AF395" s="161"/>
      <c r="AG395" s="161"/>
      <c r="AH395" s="179"/>
      <c r="AI395" s="179"/>
      <c r="AJ395" s="179"/>
      <c r="AK395" s="179"/>
      <c r="AL395" s="179"/>
      <c r="AM395" s="179"/>
      <c r="AN395" s="179"/>
      <c r="AO395" s="179"/>
      <c r="AP395" s="179"/>
      <c r="AQ395" s="179"/>
      <c r="AR395" s="179"/>
      <c r="AS395" s="179"/>
      <c r="AT395" s="179"/>
      <c r="AU395" s="179"/>
      <c r="AV395" s="179"/>
      <c r="AW395" s="179"/>
      <c r="AX395" s="179"/>
      <c r="AY395" s="179"/>
      <c r="AZ395" s="179"/>
      <c r="BA395" s="179"/>
      <c r="BB395" s="179"/>
      <c r="BC395" s="179"/>
      <c r="BD395" s="179"/>
      <c r="BE395" s="179"/>
      <c r="BF395" s="179"/>
      <c r="BG395" s="179"/>
      <c r="BH395" s="179"/>
      <c r="BI395" s="179"/>
      <c r="BJ395" s="179"/>
      <c r="BK395" s="179"/>
      <c r="BL395" s="179"/>
      <c r="BM395" s="179"/>
      <c r="BN395" s="179"/>
      <c r="BO395" s="179"/>
      <c r="BP395" s="179"/>
      <c r="BQ395" s="179"/>
      <c r="BR395" s="179"/>
      <c r="BS395" s="179"/>
      <c r="BT395" s="179"/>
      <c r="BU395" s="179"/>
      <c r="BV395" s="179"/>
      <c r="BW395" s="179"/>
      <c r="BX395" s="179"/>
      <c r="BY395" s="179"/>
      <c r="BZ395" s="179"/>
      <c r="CA395" s="179"/>
      <c r="CB395" s="179"/>
      <c r="CC395" s="179"/>
      <c r="CD395" s="179"/>
      <c r="CE395" s="179"/>
      <c r="CF395" s="179"/>
      <c r="CG395" s="179"/>
      <c r="CH395" s="179"/>
      <c r="CI395" s="179"/>
      <c r="CJ395" s="179"/>
      <c r="CK395" s="179"/>
      <c r="CL395" s="179"/>
      <c r="CM395" s="179"/>
      <c r="CN395" s="179"/>
      <c r="CO395" s="179"/>
      <c r="CP395" s="179"/>
      <c r="CQ395" s="179"/>
      <c r="CR395" s="179"/>
      <c r="CS395" s="179"/>
      <c r="CT395" s="179"/>
      <c r="CU395" s="179"/>
    </row>
    <row r="396" spans="1:99" s="160" customFormat="1" ht="13" outlineLevel="1" thickBot="1">
      <c r="B396" s="186"/>
      <c r="C396" s="337" t="s">
        <v>464</v>
      </c>
      <c r="D396" s="338"/>
      <c r="E396" s="338"/>
      <c r="F396" s="346"/>
      <c r="G396" s="346"/>
      <c r="H396" s="150">
        <f>$H$395</f>
        <v>31151.617857142857</v>
      </c>
      <c r="I396" s="150">
        <f t="shared" ref="I396:AG396" si="141">IF(I382=0,$H$395,H396-H397)</f>
        <v>31151.617857142857</v>
      </c>
      <c r="J396" s="150">
        <f t="shared" ca="1" si="141"/>
        <v>26248.050040720009</v>
      </c>
      <c r="K396" s="150">
        <f t="shared" ca="1" si="141"/>
        <v>20756.054086326418</v>
      </c>
      <c r="L396" s="150">
        <f t="shared" ca="1" si="141"/>
        <v>14605.018617405596</v>
      </c>
      <c r="M396" s="150">
        <f t="shared" ca="1" si="141"/>
        <v>7715.8588922142753</v>
      </c>
      <c r="N396" s="150">
        <f t="shared" ca="1" si="141"/>
        <v>-4.5474735088646412E-12</v>
      </c>
      <c r="O396" s="150">
        <f t="shared" ca="1" si="141"/>
        <v>-4.5474735088646412E-12</v>
      </c>
      <c r="P396" s="150">
        <f t="shared" ca="1" si="141"/>
        <v>-4.5474735088646412E-12</v>
      </c>
      <c r="Q396" s="150">
        <f t="shared" ca="1" si="141"/>
        <v>-4.5474735088646412E-12</v>
      </c>
      <c r="R396" s="150">
        <f t="shared" ca="1" si="141"/>
        <v>-4.5474735088646412E-12</v>
      </c>
      <c r="S396" s="150">
        <f t="shared" ca="1" si="141"/>
        <v>-4.5474735088646412E-12</v>
      </c>
      <c r="T396" s="150">
        <f t="shared" ca="1" si="141"/>
        <v>-4.5474735088646412E-12</v>
      </c>
      <c r="U396" s="150">
        <f t="shared" ca="1" si="141"/>
        <v>-4.5474735088646412E-12</v>
      </c>
      <c r="V396" s="150">
        <f t="shared" ca="1" si="141"/>
        <v>-4.5474735088646412E-12</v>
      </c>
      <c r="W396" s="150">
        <f t="shared" ca="1" si="141"/>
        <v>-4.5474735088646412E-12</v>
      </c>
      <c r="X396" s="150">
        <f t="shared" ca="1" si="141"/>
        <v>-4.5474735088646412E-12</v>
      </c>
      <c r="Y396" s="150">
        <f t="shared" ca="1" si="141"/>
        <v>-4.5474735088646412E-12</v>
      </c>
      <c r="Z396" s="150">
        <f t="shared" ca="1" si="141"/>
        <v>-4.5474735088646412E-12</v>
      </c>
      <c r="AA396" s="150">
        <f t="shared" ca="1" si="141"/>
        <v>-4.5474735088646412E-12</v>
      </c>
      <c r="AB396" s="150">
        <f t="shared" ca="1" si="141"/>
        <v>-4.5474735088646412E-12</v>
      </c>
      <c r="AC396" s="150">
        <f t="shared" ca="1" si="141"/>
        <v>-4.5474735088646412E-12</v>
      </c>
      <c r="AD396" s="150">
        <f t="shared" ca="1" si="141"/>
        <v>-4.5474735088646412E-12</v>
      </c>
      <c r="AE396" s="150">
        <f t="shared" ca="1" si="141"/>
        <v>-4.5474735088646412E-12</v>
      </c>
      <c r="AF396" s="150">
        <f t="shared" ca="1" si="141"/>
        <v>-4.5474735088646412E-12</v>
      </c>
      <c r="AG396" s="150">
        <f t="shared" ca="1" si="141"/>
        <v>-4.5474735088646412E-12</v>
      </c>
      <c r="AH396" s="179"/>
      <c r="AI396" s="179"/>
      <c r="AJ396" s="179"/>
      <c r="AK396" s="179"/>
      <c r="AL396" s="179"/>
      <c r="AM396" s="179"/>
      <c r="AN396" s="179"/>
      <c r="AO396" s="179"/>
      <c r="AP396" s="179"/>
      <c r="AQ396" s="179"/>
      <c r="AR396" s="179"/>
      <c r="AS396" s="179"/>
      <c r="AT396" s="179"/>
      <c r="AU396" s="179"/>
      <c r="AV396" s="179"/>
      <c r="AW396" s="179"/>
      <c r="AX396" s="179"/>
      <c r="AY396" s="179"/>
      <c r="AZ396" s="179"/>
      <c r="BA396" s="179"/>
      <c r="BB396" s="179"/>
      <c r="BC396" s="179"/>
      <c r="BD396" s="179"/>
      <c r="BE396" s="179"/>
      <c r="BF396" s="179"/>
      <c r="BG396" s="179"/>
      <c r="BH396" s="179"/>
      <c r="BI396" s="179"/>
      <c r="BJ396" s="179"/>
      <c r="BK396" s="179"/>
      <c r="BL396" s="179"/>
      <c r="BM396" s="179"/>
      <c r="BN396" s="179"/>
      <c r="BO396" s="179"/>
      <c r="BP396" s="179"/>
      <c r="BQ396" s="179"/>
      <c r="BR396" s="179"/>
      <c r="BS396" s="179"/>
      <c r="BT396" s="179"/>
      <c r="BU396" s="179"/>
      <c r="BV396" s="179"/>
      <c r="BW396" s="179"/>
      <c r="BX396" s="179"/>
      <c r="BY396" s="179"/>
      <c r="BZ396" s="179"/>
      <c r="CA396" s="179"/>
      <c r="CB396" s="179"/>
      <c r="CC396" s="179"/>
      <c r="CD396" s="179"/>
      <c r="CE396" s="179"/>
      <c r="CF396" s="179"/>
      <c r="CG396" s="179"/>
      <c r="CH396" s="179"/>
      <c r="CI396" s="179"/>
      <c r="CJ396" s="179"/>
      <c r="CK396" s="179"/>
      <c r="CL396" s="179"/>
      <c r="CM396" s="179"/>
      <c r="CN396" s="179"/>
      <c r="CO396" s="179"/>
      <c r="CP396" s="179"/>
      <c r="CQ396" s="179"/>
      <c r="CR396" s="179"/>
      <c r="CS396" s="179"/>
      <c r="CT396" s="179"/>
      <c r="CU396" s="179"/>
    </row>
    <row r="397" spans="1:99" s="160" customFormat="1" ht="13" outlineLevel="1" thickBot="1">
      <c r="B397" s="186"/>
      <c r="C397" s="337" t="s">
        <v>465</v>
      </c>
      <c r="D397" s="338"/>
      <c r="E397" s="338"/>
      <c r="F397" s="346"/>
      <c r="G397" s="346"/>
      <c r="H397" s="150"/>
      <c r="I397" s="150">
        <f t="shared" ref="I397:AG397" ca="1" si="142">IF(I384=0, 0, IF(I383&gt;$D$51-$D$50,0,(-PPMT($D$52,I383,$D$51-$D$50,$H$395)*I384)))</f>
        <v>4903.5678164228502</v>
      </c>
      <c r="J397" s="150">
        <f t="shared" ca="1" si="142"/>
        <v>5491.9959543935911</v>
      </c>
      <c r="K397" s="150">
        <f t="shared" ca="1" si="142"/>
        <v>6151.0354689208225</v>
      </c>
      <c r="L397" s="150">
        <f t="shared" ca="1" si="142"/>
        <v>6889.1597251913208</v>
      </c>
      <c r="M397" s="150">
        <f t="shared" ca="1" si="142"/>
        <v>7715.8588922142799</v>
      </c>
      <c r="N397" s="150">
        <f t="shared" ca="1" si="142"/>
        <v>0</v>
      </c>
      <c r="O397" s="150">
        <f t="shared" ca="1" si="142"/>
        <v>0</v>
      </c>
      <c r="P397" s="150">
        <f t="shared" ca="1" si="142"/>
        <v>0</v>
      </c>
      <c r="Q397" s="150">
        <f t="shared" ca="1" si="142"/>
        <v>0</v>
      </c>
      <c r="R397" s="150">
        <f t="shared" ca="1" si="142"/>
        <v>0</v>
      </c>
      <c r="S397" s="150">
        <f t="shared" ca="1" si="142"/>
        <v>0</v>
      </c>
      <c r="T397" s="150">
        <f t="shared" ca="1" si="142"/>
        <v>0</v>
      </c>
      <c r="U397" s="150">
        <f t="shared" ca="1" si="142"/>
        <v>0</v>
      </c>
      <c r="V397" s="150">
        <f t="shared" ca="1" si="142"/>
        <v>0</v>
      </c>
      <c r="W397" s="150">
        <f t="shared" ca="1" si="142"/>
        <v>0</v>
      </c>
      <c r="X397" s="150">
        <f t="shared" ca="1" si="142"/>
        <v>0</v>
      </c>
      <c r="Y397" s="150">
        <f t="shared" ca="1" si="142"/>
        <v>0</v>
      </c>
      <c r="Z397" s="150">
        <f t="shared" ca="1" si="142"/>
        <v>0</v>
      </c>
      <c r="AA397" s="150">
        <f t="shared" ca="1" si="142"/>
        <v>0</v>
      </c>
      <c r="AB397" s="150">
        <f t="shared" ca="1" si="142"/>
        <v>0</v>
      </c>
      <c r="AC397" s="150">
        <f t="shared" ca="1" si="142"/>
        <v>0</v>
      </c>
      <c r="AD397" s="150">
        <f t="shared" ca="1" si="142"/>
        <v>0</v>
      </c>
      <c r="AE397" s="150">
        <f t="shared" ca="1" si="142"/>
        <v>0</v>
      </c>
      <c r="AF397" s="150">
        <f t="shared" ca="1" si="142"/>
        <v>0</v>
      </c>
      <c r="AG397" s="150">
        <f t="shared" ca="1" si="142"/>
        <v>0</v>
      </c>
      <c r="AH397" s="179"/>
      <c r="AI397" s="179"/>
      <c r="AJ397" s="179"/>
      <c r="AK397" s="179"/>
      <c r="AL397" s="179"/>
      <c r="AM397" s="179"/>
      <c r="AN397" s="179"/>
      <c r="AO397" s="179"/>
      <c r="AP397" s="179"/>
      <c r="AQ397" s="179"/>
      <c r="AR397" s="179"/>
      <c r="AS397" s="179"/>
      <c r="AT397" s="179"/>
      <c r="AU397" s="179"/>
      <c r="AV397" s="179"/>
      <c r="AW397" s="179"/>
      <c r="AX397" s="179"/>
      <c r="AY397" s="179"/>
      <c r="AZ397" s="179"/>
      <c r="BA397" s="179"/>
      <c r="BB397" s="179"/>
      <c r="BC397" s="179"/>
      <c r="BD397" s="179"/>
      <c r="BE397" s="179"/>
      <c r="BF397" s="179"/>
      <c r="BG397" s="179"/>
      <c r="BH397" s="179"/>
      <c r="BI397" s="179"/>
      <c r="BJ397" s="179"/>
      <c r="BK397" s="179"/>
      <c r="BL397" s="179"/>
      <c r="BM397" s="179"/>
      <c r="BN397" s="179"/>
      <c r="BO397" s="179"/>
      <c r="BP397" s="179"/>
      <c r="BQ397" s="179"/>
      <c r="BR397" s="179"/>
      <c r="BS397" s="179"/>
      <c r="BT397" s="179"/>
      <c r="BU397" s="179"/>
      <c r="BV397" s="179"/>
      <c r="BW397" s="179"/>
      <c r="BX397" s="179"/>
      <c r="BY397" s="179"/>
      <c r="BZ397" s="179"/>
      <c r="CA397" s="179"/>
      <c r="CB397" s="179"/>
      <c r="CC397" s="179"/>
      <c r="CD397" s="179"/>
      <c r="CE397" s="179"/>
      <c r="CF397" s="179"/>
      <c r="CG397" s="179"/>
      <c r="CH397" s="179"/>
      <c r="CI397" s="179"/>
      <c r="CJ397" s="179"/>
      <c r="CK397" s="179"/>
      <c r="CL397" s="179"/>
      <c r="CM397" s="179"/>
      <c r="CN397" s="179"/>
      <c r="CO397" s="179"/>
      <c r="CP397" s="179"/>
      <c r="CQ397" s="179"/>
      <c r="CR397" s="179"/>
      <c r="CS397" s="179"/>
      <c r="CT397" s="179"/>
      <c r="CU397" s="179"/>
    </row>
    <row r="398" spans="1:99" s="160" customFormat="1" ht="13" outlineLevel="1" thickBot="1">
      <c r="B398" s="186"/>
      <c r="C398" s="337" t="s">
        <v>466</v>
      </c>
      <c r="D398" s="338"/>
      <c r="E398" s="338"/>
      <c r="F398" s="346"/>
      <c r="G398" s="346"/>
      <c r="H398" s="150">
        <f t="shared" ref="H398:AG398" si="143">H396-H397</f>
        <v>31151.617857142857</v>
      </c>
      <c r="I398" s="150">
        <f t="shared" ca="1" si="143"/>
        <v>26248.050040720009</v>
      </c>
      <c r="J398" s="150">
        <f t="shared" ca="1" si="143"/>
        <v>20756.054086326418</v>
      </c>
      <c r="K398" s="150">
        <f t="shared" ca="1" si="143"/>
        <v>14605.018617405596</v>
      </c>
      <c r="L398" s="150">
        <f t="shared" ca="1" si="143"/>
        <v>7715.8588922142753</v>
      </c>
      <c r="M398" s="150">
        <f t="shared" ca="1" si="143"/>
        <v>0</v>
      </c>
      <c r="N398" s="150">
        <f t="shared" ca="1" si="143"/>
        <v>-4.5474735088646412E-12</v>
      </c>
      <c r="O398" s="150">
        <f t="shared" ca="1" si="143"/>
        <v>-4.5474735088646412E-12</v>
      </c>
      <c r="P398" s="150">
        <f t="shared" ca="1" si="143"/>
        <v>-4.5474735088646412E-12</v>
      </c>
      <c r="Q398" s="150">
        <f t="shared" ca="1" si="143"/>
        <v>-4.5474735088646412E-12</v>
      </c>
      <c r="R398" s="150">
        <f t="shared" ca="1" si="143"/>
        <v>-4.5474735088646412E-12</v>
      </c>
      <c r="S398" s="150">
        <f t="shared" ca="1" si="143"/>
        <v>-4.5474735088646412E-12</v>
      </c>
      <c r="T398" s="150">
        <f t="shared" ca="1" si="143"/>
        <v>-4.5474735088646412E-12</v>
      </c>
      <c r="U398" s="150">
        <f t="shared" ca="1" si="143"/>
        <v>-4.5474735088646412E-12</v>
      </c>
      <c r="V398" s="150">
        <f t="shared" ca="1" si="143"/>
        <v>-4.5474735088646412E-12</v>
      </c>
      <c r="W398" s="150">
        <f t="shared" ca="1" si="143"/>
        <v>-4.5474735088646412E-12</v>
      </c>
      <c r="X398" s="150">
        <f t="shared" ca="1" si="143"/>
        <v>-4.5474735088646412E-12</v>
      </c>
      <c r="Y398" s="150">
        <f t="shared" ca="1" si="143"/>
        <v>-4.5474735088646412E-12</v>
      </c>
      <c r="Z398" s="150">
        <f t="shared" ca="1" si="143"/>
        <v>-4.5474735088646412E-12</v>
      </c>
      <c r="AA398" s="150">
        <f t="shared" ca="1" si="143"/>
        <v>-4.5474735088646412E-12</v>
      </c>
      <c r="AB398" s="150">
        <f t="shared" ca="1" si="143"/>
        <v>-4.5474735088646412E-12</v>
      </c>
      <c r="AC398" s="150">
        <f t="shared" ca="1" si="143"/>
        <v>-4.5474735088646412E-12</v>
      </c>
      <c r="AD398" s="150">
        <f t="shared" ca="1" si="143"/>
        <v>-4.5474735088646412E-12</v>
      </c>
      <c r="AE398" s="150">
        <f t="shared" ca="1" si="143"/>
        <v>-4.5474735088646412E-12</v>
      </c>
      <c r="AF398" s="150">
        <f t="shared" ca="1" si="143"/>
        <v>-4.5474735088646412E-12</v>
      </c>
      <c r="AG398" s="150">
        <f t="shared" ca="1" si="143"/>
        <v>-4.5474735088646412E-12</v>
      </c>
      <c r="AH398" s="179"/>
      <c r="AI398" s="179"/>
      <c r="AJ398" s="179"/>
      <c r="AK398" s="179"/>
      <c r="AL398" s="179"/>
      <c r="AM398" s="179"/>
      <c r="AN398" s="179"/>
      <c r="AO398" s="179"/>
      <c r="AP398" s="179"/>
      <c r="AQ398" s="179"/>
      <c r="AR398" s="179"/>
      <c r="AS398" s="179"/>
      <c r="AT398" s="179"/>
      <c r="AU398" s="179"/>
      <c r="AV398" s="179"/>
      <c r="AW398" s="179"/>
      <c r="AX398" s="179"/>
      <c r="AY398" s="179"/>
      <c r="AZ398" s="179"/>
      <c r="BA398" s="179"/>
      <c r="BB398" s="179"/>
      <c r="BC398" s="179"/>
      <c r="BD398" s="179"/>
      <c r="BE398" s="179"/>
      <c r="BF398" s="179"/>
      <c r="BG398" s="179"/>
      <c r="BH398" s="179"/>
      <c r="BI398" s="179"/>
      <c r="BJ398" s="179"/>
      <c r="BK398" s="179"/>
      <c r="BL398" s="179"/>
      <c r="BM398" s="179"/>
      <c r="BN398" s="179"/>
      <c r="BO398" s="179"/>
      <c r="BP398" s="179"/>
      <c r="BQ398" s="179"/>
      <c r="BR398" s="179"/>
      <c r="BS398" s="179"/>
      <c r="BT398" s="179"/>
      <c r="BU398" s="179"/>
      <c r="BV398" s="179"/>
      <c r="BW398" s="179"/>
      <c r="BX398" s="179"/>
      <c r="BY398" s="179"/>
      <c r="BZ398" s="179"/>
      <c r="CA398" s="179"/>
      <c r="CB398" s="179"/>
      <c r="CC398" s="179"/>
      <c r="CD398" s="179"/>
      <c r="CE398" s="179"/>
      <c r="CF398" s="179"/>
      <c r="CG398" s="179"/>
      <c r="CH398" s="179"/>
      <c r="CI398" s="179"/>
      <c r="CJ398" s="179"/>
      <c r="CK398" s="179"/>
      <c r="CL398" s="179"/>
      <c r="CM398" s="179"/>
      <c r="CN398" s="179"/>
      <c r="CO398" s="179"/>
      <c r="CP398" s="179"/>
      <c r="CQ398" s="179"/>
      <c r="CR398" s="179"/>
      <c r="CS398" s="179"/>
      <c r="CT398" s="179"/>
      <c r="CU398" s="179"/>
    </row>
    <row r="399" spans="1:99" s="160" customFormat="1" ht="13.5" outlineLevel="1" thickBot="1">
      <c r="B399" s="186"/>
      <c r="C399" s="367" t="s">
        <v>468</v>
      </c>
      <c r="D399" s="368"/>
      <c r="E399" s="368"/>
      <c r="F399" s="369"/>
      <c r="G399" s="369"/>
      <c r="H399" s="271"/>
      <c r="I399" s="271">
        <f t="shared" ref="I399:AG399" si="144">I396*$D$52</f>
        <v>3738.1941428571427</v>
      </c>
      <c r="J399" s="271">
        <f t="shared" ca="1" si="144"/>
        <v>3149.7660048864009</v>
      </c>
      <c r="K399" s="271">
        <f t="shared" ca="1" si="144"/>
        <v>2490.7264903591699</v>
      </c>
      <c r="L399" s="271">
        <f t="shared" ca="1" si="144"/>
        <v>1752.6022340886714</v>
      </c>
      <c r="M399" s="271">
        <f t="shared" ca="1" si="144"/>
        <v>925.903067065713</v>
      </c>
      <c r="N399" s="271">
        <f t="shared" ca="1" si="144"/>
        <v>-5.4569682106375692E-13</v>
      </c>
      <c r="O399" s="271">
        <f t="shared" ca="1" si="144"/>
        <v>-5.4569682106375692E-13</v>
      </c>
      <c r="P399" s="271">
        <f t="shared" ca="1" si="144"/>
        <v>-5.4569682106375692E-13</v>
      </c>
      <c r="Q399" s="271">
        <f t="shared" ca="1" si="144"/>
        <v>-5.4569682106375692E-13</v>
      </c>
      <c r="R399" s="271">
        <f t="shared" ca="1" si="144"/>
        <v>-5.4569682106375692E-13</v>
      </c>
      <c r="S399" s="271">
        <f t="shared" ca="1" si="144"/>
        <v>-5.4569682106375692E-13</v>
      </c>
      <c r="T399" s="271">
        <f t="shared" ca="1" si="144"/>
        <v>-5.4569682106375692E-13</v>
      </c>
      <c r="U399" s="271">
        <f t="shared" ca="1" si="144"/>
        <v>-5.4569682106375692E-13</v>
      </c>
      <c r="V399" s="271">
        <f t="shared" ca="1" si="144"/>
        <v>-5.4569682106375692E-13</v>
      </c>
      <c r="W399" s="271">
        <f t="shared" ca="1" si="144"/>
        <v>-5.4569682106375692E-13</v>
      </c>
      <c r="X399" s="271">
        <f t="shared" ca="1" si="144"/>
        <v>-5.4569682106375692E-13</v>
      </c>
      <c r="Y399" s="271">
        <f t="shared" ca="1" si="144"/>
        <v>-5.4569682106375692E-13</v>
      </c>
      <c r="Z399" s="271">
        <f t="shared" ca="1" si="144"/>
        <v>-5.4569682106375692E-13</v>
      </c>
      <c r="AA399" s="271">
        <f t="shared" ca="1" si="144"/>
        <v>-5.4569682106375692E-13</v>
      </c>
      <c r="AB399" s="271">
        <f t="shared" ca="1" si="144"/>
        <v>-5.4569682106375692E-13</v>
      </c>
      <c r="AC399" s="271">
        <f t="shared" ca="1" si="144"/>
        <v>-5.4569682106375692E-13</v>
      </c>
      <c r="AD399" s="271">
        <f t="shared" ca="1" si="144"/>
        <v>-5.4569682106375692E-13</v>
      </c>
      <c r="AE399" s="271">
        <f t="shared" ca="1" si="144"/>
        <v>-5.4569682106375692E-13</v>
      </c>
      <c r="AF399" s="271">
        <f t="shared" ca="1" si="144"/>
        <v>-5.4569682106375692E-13</v>
      </c>
      <c r="AG399" s="271">
        <f t="shared" ca="1" si="144"/>
        <v>-5.4569682106375692E-13</v>
      </c>
      <c r="AH399" s="179"/>
      <c r="AI399" s="179"/>
      <c r="AJ399" s="179"/>
      <c r="AK399" s="179"/>
      <c r="AL399" s="179"/>
      <c r="AM399" s="179"/>
      <c r="AN399" s="179"/>
      <c r="AO399" s="179"/>
      <c r="AP399" s="179"/>
      <c r="AQ399" s="179"/>
      <c r="AR399" s="179"/>
      <c r="AS399" s="179"/>
      <c r="AT399" s="179"/>
      <c r="AU399" s="179"/>
      <c r="AV399" s="179"/>
      <c r="AW399" s="179"/>
      <c r="AX399" s="179"/>
      <c r="AY399" s="179"/>
      <c r="AZ399" s="179"/>
      <c r="BA399" s="179"/>
      <c r="BB399" s="179"/>
      <c r="BC399" s="179"/>
      <c r="BD399" s="179"/>
      <c r="BE399" s="179"/>
      <c r="BF399" s="179"/>
      <c r="BG399" s="179"/>
      <c r="BH399" s="179"/>
      <c r="BI399" s="179"/>
      <c r="BJ399" s="179"/>
      <c r="BK399" s="179"/>
      <c r="BL399" s="179"/>
      <c r="BM399" s="179"/>
      <c r="BN399" s="179"/>
      <c r="BO399" s="179"/>
      <c r="BP399" s="179"/>
      <c r="BQ399" s="179"/>
      <c r="BR399" s="179"/>
      <c r="BS399" s="179"/>
      <c r="BT399" s="179"/>
      <c r="BU399" s="179"/>
      <c r="BV399" s="179"/>
      <c r="BW399" s="179"/>
      <c r="BX399" s="179"/>
      <c r="BY399" s="179"/>
      <c r="BZ399" s="179"/>
      <c r="CA399" s="179"/>
      <c r="CB399" s="179"/>
      <c r="CC399" s="179"/>
      <c r="CD399" s="179"/>
      <c r="CE399" s="179"/>
      <c r="CF399" s="179"/>
      <c r="CG399" s="179"/>
      <c r="CH399" s="179"/>
      <c r="CI399" s="179"/>
      <c r="CJ399" s="179"/>
      <c r="CK399" s="179"/>
      <c r="CL399" s="179"/>
      <c r="CM399" s="179"/>
      <c r="CN399" s="179"/>
      <c r="CO399" s="179"/>
      <c r="CP399" s="179"/>
      <c r="CQ399" s="179"/>
      <c r="CR399" s="179"/>
      <c r="CS399" s="179"/>
      <c r="CT399" s="179"/>
      <c r="CU399" s="179"/>
    </row>
    <row r="400" spans="1:99" ht="14.5" outlineLevel="1" thickBot="1">
      <c r="C400" s="183"/>
      <c r="D400" s="183"/>
      <c r="E400" s="183"/>
      <c r="F400" s="370"/>
      <c r="G400" s="370"/>
      <c r="H400" s="371"/>
      <c r="I400" s="371"/>
      <c r="J400" s="371"/>
      <c r="K400" s="371"/>
      <c r="L400" s="371"/>
      <c r="M400" s="371"/>
      <c r="N400" s="371"/>
      <c r="O400" s="371"/>
      <c r="P400" s="371"/>
      <c r="Q400" s="371"/>
      <c r="R400" s="371"/>
      <c r="S400" s="371"/>
      <c r="T400" s="371"/>
      <c r="U400" s="371"/>
      <c r="V400" s="371"/>
      <c r="W400" s="371"/>
      <c r="X400" s="371"/>
      <c r="Y400" s="371"/>
      <c r="Z400" s="371"/>
      <c r="AA400" s="371"/>
      <c r="AB400" s="372"/>
      <c r="AC400" s="372"/>
      <c r="AD400" s="372"/>
      <c r="AE400" s="372"/>
      <c r="AF400" s="372"/>
      <c r="AG400" s="372"/>
      <c r="AH400" s="128"/>
      <c r="AI400" s="128"/>
      <c r="AJ400" s="128"/>
      <c r="AK400" s="128"/>
      <c r="AL400" s="128"/>
      <c r="AM400" s="128"/>
      <c r="AN400" s="128"/>
      <c r="AO400" s="128"/>
      <c r="AP400" s="128"/>
      <c r="AQ400" s="128"/>
      <c r="AR400" s="128"/>
      <c r="AS400" s="128"/>
      <c r="AT400" s="128"/>
      <c r="AU400" s="128"/>
      <c r="AV400" s="128"/>
      <c r="AW400" s="128"/>
      <c r="AX400" s="128"/>
      <c r="AY400" s="128"/>
      <c r="AZ400" s="128"/>
      <c r="BA400" s="128"/>
      <c r="BB400" s="128"/>
      <c r="BC400" s="128"/>
      <c r="BD400" s="128"/>
      <c r="BE400" s="128"/>
      <c r="BF400" s="128"/>
      <c r="BG400" s="128"/>
      <c r="BH400" s="128"/>
      <c r="BI400" s="128"/>
      <c r="BJ400" s="128"/>
      <c r="BK400" s="128"/>
      <c r="BL400" s="128"/>
      <c r="BM400" s="128"/>
      <c r="BN400" s="128"/>
      <c r="BO400" s="128"/>
      <c r="BP400" s="128"/>
      <c r="BQ400" s="128"/>
      <c r="BR400" s="128"/>
      <c r="BS400" s="128"/>
      <c r="BT400" s="128"/>
      <c r="BU400" s="128"/>
      <c r="BV400" s="128"/>
      <c r="BW400" s="128"/>
      <c r="BX400" s="128"/>
      <c r="BY400" s="128"/>
      <c r="BZ400" s="128"/>
      <c r="CA400" s="128"/>
      <c r="CB400" s="128"/>
      <c r="CC400" s="128"/>
      <c r="CD400" s="128"/>
      <c r="CE400" s="128"/>
      <c r="CF400" s="128"/>
      <c r="CG400" s="128"/>
      <c r="CH400" s="128"/>
      <c r="CI400" s="128"/>
      <c r="CJ400" s="128"/>
      <c r="CK400" s="128"/>
      <c r="CL400" s="128"/>
      <c r="CM400" s="128"/>
      <c r="CN400" s="128"/>
      <c r="CO400" s="128"/>
      <c r="CP400" s="128"/>
      <c r="CQ400" s="128"/>
      <c r="CR400" s="128"/>
      <c r="CS400" s="128"/>
      <c r="CT400" s="128"/>
      <c r="CU400" s="128"/>
    </row>
    <row r="401" spans="2:99" ht="14.5" outlineLevel="1" thickBot="1">
      <c r="B401" s="186"/>
      <c r="C401" s="173" t="s">
        <v>469</v>
      </c>
      <c r="D401" s="174"/>
      <c r="E401" s="174"/>
      <c r="F401" s="175"/>
      <c r="G401" s="175"/>
      <c r="H401" s="271">
        <f>IFERROR(H376-H393-H399,"")</f>
        <v>0</v>
      </c>
      <c r="I401" s="271">
        <f t="shared" ref="I401:AG401" si="145">IF(I1&lt;=$D$18,IFERROR(I376-I393-I399,""),0)</f>
        <v>-4222.5609970868081</v>
      </c>
      <c r="J401" s="271">
        <f t="shared" ca="1" si="145"/>
        <v>-3819.5856433562253</v>
      </c>
      <c r="K401" s="271">
        <f t="shared" ca="1" si="145"/>
        <v>-3348.3337963619388</v>
      </c>
      <c r="L401" s="271">
        <f t="shared" ca="1" si="145"/>
        <v>-2800.3870336168284</v>
      </c>
      <c r="M401" s="271">
        <f t="shared" ca="1" si="145"/>
        <v>-2166.3111781999437</v>
      </c>
      <c r="N401" s="271">
        <f t="shared" ca="1" si="145"/>
        <v>-1435.5343035714686</v>
      </c>
      <c r="O401" s="271">
        <f t="shared" ca="1" si="145"/>
        <v>-1633.221531969908</v>
      </c>
      <c r="P401" s="271">
        <f t="shared" ca="1" si="145"/>
        <v>-1833.529065974576</v>
      </c>
      <c r="Q401" s="271">
        <f t="shared" ca="1" si="145"/>
        <v>-2036.5173123313634</v>
      </c>
      <c r="R401" s="271">
        <f t="shared" ca="1" si="145"/>
        <v>-2242.2478379177992</v>
      </c>
      <c r="S401" s="271">
        <f t="shared" ca="1" si="145"/>
        <v>-2450.7833932326603</v>
      </c>
      <c r="T401" s="271">
        <f t="shared" ca="1" si="145"/>
        <v>-2662.1879363552125</v>
      </c>
      <c r="U401" s="271">
        <f t="shared" ca="1" si="145"/>
        <v>-2876.5266573814042</v>
      </c>
      <c r="V401" s="271">
        <f t="shared" ca="1" si="145"/>
        <v>-3093.8660033470587</v>
      </c>
      <c r="W401" s="271">
        <f t="shared" ca="1" si="145"/>
        <v>-3314.2737036478547</v>
      </c>
      <c r="X401" s="271">
        <f t="shared" ca="1" si="145"/>
        <v>-2821.0145533315585</v>
      </c>
      <c r="Y401" s="271">
        <f t="shared" ca="1" si="145"/>
        <v>-3047.7674100793288</v>
      </c>
      <c r="Z401" s="271">
        <f t="shared" ca="1" si="145"/>
        <v>-3277.7997653698189</v>
      </c>
      <c r="AA401" s="271">
        <f t="shared" ca="1" si="145"/>
        <v>-3511.1847425254359</v>
      </c>
      <c r="AB401" s="271">
        <f t="shared" ca="1" si="145"/>
        <v>-3747.9968821349271</v>
      </c>
      <c r="AC401" s="271">
        <f t="shared" ca="1" si="145"/>
        <v>-3988.3121706699062</v>
      </c>
      <c r="AD401" s="271">
        <f t="shared" ca="1" si="145"/>
        <v>-4232.2080696720814</v>
      </c>
      <c r="AE401" s="271">
        <f t="shared" ca="1" si="145"/>
        <v>-5482.9009608410652</v>
      </c>
      <c r="AF401" s="271">
        <f t="shared" ca="1" si="145"/>
        <v>-5728.1776906318109</v>
      </c>
      <c r="AG401" s="271">
        <f t="shared" ca="1" si="145"/>
        <v>-5977.3126795567796</v>
      </c>
      <c r="AH401" s="128"/>
      <c r="AI401" s="128"/>
      <c r="AJ401" s="128"/>
      <c r="AK401" s="128"/>
      <c r="AL401" s="128"/>
      <c r="AM401" s="128"/>
      <c r="AN401" s="128"/>
      <c r="AO401" s="128"/>
      <c r="AP401" s="128"/>
      <c r="AQ401" s="128"/>
      <c r="AR401" s="128"/>
      <c r="AS401" s="128"/>
      <c r="AT401" s="128"/>
      <c r="AU401" s="128"/>
      <c r="AV401" s="128"/>
      <c r="AW401" s="128"/>
      <c r="AX401" s="128"/>
      <c r="AY401" s="128"/>
      <c r="AZ401" s="128"/>
      <c r="BA401" s="128"/>
      <c r="BB401" s="128"/>
      <c r="BC401" s="128"/>
      <c r="BD401" s="128"/>
      <c r="BE401" s="128"/>
      <c r="BF401" s="128"/>
      <c r="BG401" s="128"/>
      <c r="BH401" s="128"/>
      <c r="BI401" s="128"/>
      <c r="BJ401" s="128"/>
      <c r="BK401" s="128"/>
      <c r="BL401" s="128"/>
      <c r="BM401" s="128"/>
      <c r="BN401" s="128"/>
      <c r="BO401" s="128"/>
      <c r="BP401" s="128"/>
      <c r="BQ401" s="128"/>
      <c r="BR401" s="128"/>
      <c r="BS401" s="128"/>
      <c r="BT401" s="128"/>
      <c r="BU401" s="128"/>
      <c r="BV401" s="128"/>
      <c r="BW401" s="128"/>
      <c r="BX401" s="128"/>
      <c r="BY401" s="128"/>
      <c r="BZ401" s="128"/>
      <c r="CA401" s="128"/>
      <c r="CB401" s="128"/>
      <c r="CC401" s="128"/>
      <c r="CD401" s="128"/>
      <c r="CE401" s="128"/>
      <c r="CF401" s="128"/>
      <c r="CG401" s="128"/>
      <c r="CH401" s="128"/>
      <c r="CI401" s="128"/>
      <c r="CJ401" s="128"/>
      <c r="CK401" s="128"/>
      <c r="CL401" s="128"/>
      <c r="CM401" s="128"/>
      <c r="CN401" s="128"/>
      <c r="CO401" s="128"/>
      <c r="CP401" s="128"/>
      <c r="CQ401" s="128"/>
      <c r="CR401" s="128"/>
      <c r="CS401" s="128"/>
      <c r="CT401" s="128"/>
      <c r="CU401" s="128"/>
    </row>
    <row r="402" spans="2:99" ht="14.5" outlineLevel="1" thickBot="1">
      <c r="C402" s="153"/>
      <c r="D402" s="185"/>
      <c r="E402" s="224"/>
      <c r="F402" s="373"/>
      <c r="G402" s="224"/>
      <c r="H402" s="224"/>
      <c r="I402" s="374"/>
      <c r="J402" s="374"/>
      <c r="K402" s="374"/>
      <c r="L402" s="374"/>
      <c r="M402" s="374"/>
      <c r="N402" s="374"/>
      <c r="O402" s="374"/>
      <c r="P402" s="374"/>
      <c r="Q402" s="374"/>
      <c r="R402" s="374"/>
      <c r="S402" s="374"/>
      <c r="T402" s="374"/>
      <c r="U402" s="374"/>
      <c r="V402" s="374"/>
      <c r="W402" s="374"/>
      <c r="X402" s="374"/>
      <c r="Y402" s="374"/>
      <c r="Z402" s="374"/>
      <c r="AA402" s="374"/>
      <c r="AB402" s="374"/>
      <c r="AC402" s="374"/>
      <c r="AD402" s="374"/>
      <c r="AE402" s="374"/>
      <c r="AF402" s="374"/>
      <c r="AG402" s="374"/>
      <c r="AH402" s="128"/>
      <c r="AI402" s="128"/>
      <c r="AJ402" s="128"/>
      <c r="AK402" s="128"/>
      <c r="AL402" s="128"/>
      <c r="AM402" s="128"/>
      <c r="AN402" s="128"/>
      <c r="AO402" s="128"/>
      <c r="AP402" s="128"/>
      <c r="AQ402" s="128"/>
      <c r="AR402" s="128"/>
      <c r="AS402" s="128"/>
      <c r="AT402" s="128"/>
      <c r="AU402" s="128"/>
      <c r="AV402" s="128"/>
      <c r="AW402" s="128"/>
      <c r="AX402" s="128"/>
      <c r="AY402" s="128"/>
      <c r="AZ402" s="128"/>
      <c r="BA402" s="128"/>
      <c r="BB402" s="128"/>
      <c r="BC402" s="128"/>
      <c r="BD402" s="128"/>
      <c r="BE402" s="128"/>
      <c r="BF402" s="128"/>
      <c r="BG402" s="128"/>
      <c r="BH402" s="128"/>
      <c r="BI402" s="128"/>
      <c r="BJ402" s="128"/>
      <c r="BK402" s="128"/>
      <c r="BL402" s="128"/>
      <c r="BM402" s="128"/>
      <c r="BN402" s="128"/>
      <c r="BO402" s="128"/>
      <c r="BP402" s="128"/>
      <c r="BQ402" s="128"/>
      <c r="BR402" s="128"/>
      <c r="BS402" s="128"/>
      <c r="BT402" s="128"/>
      <c r="BU402" s="128"/>
      <c r="BV402" s="128"/>
      <c r="BW402" s="128"/>
      <c r="BX402" s="128"/>
      <c r="BY402" s="128"/>
      <c r="BZ402" s="128"/>
      <c r="CA402" s="128"/>
      <c r="CB402" s="128"/>
      <c r="CC402" s="128"/>
      <c r="CD402" s="128"/>
      <c r="CE402" s="128"/>
      <c r="CF402" s="128"/>
      <c r="CG402" s="128"/>
      <c r="CH402" s="128"/>
      <c r="CI402" s="128"/>
      <c r="CJ402" s="128"/>
      <c r="CK402" s="128"/>
      <c r="CL402" s="128"/>
      <c r="CM402" s="128"/>
      <c r="CN402" s="128"/>
      <c r="CO402" s="128"/>
      <c r="CP402" s="128"/>
      <c r="CQ402" s="128"/>
      <c r="CR402" s="128"/>
      <c r="CS402" s="128"/>
      <c r="CT402" s="128"/>
      <c r="CU402" s="128"/>
    </row>
    <row r="403" spans="2:99" ht="14.5" outlineLevel="1" thickBot="1">
      <c r="B403" s="132"/>
      <c r="C403" s="132" t="s">
        <v>470</v>
      </c>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c r="AD403" s="133"/>
      <c r="AE403" s="133"/>
      <c r="AF403" s="133"/>
      <c r="AG403" s="147"/>
      <c r="AH403" s="128"/>
      <c r="AI403" s="128"/>
      <c r="AJ403" s="128"/>
      <c r="AK403" s="128"/>
      <c r="AL403" s="128"/>
      <c r="AM403" s="128"/>
      <c r="AN403" s="128"/>
      <c r="AO403" s="128"/>
      <c r="AP403" s="128"/>
      <c r="AQ403" s="128"/>
      <c r="AR403" s="128"/>
      <c r="AS403" s="128"/>
      <c r="AT403" s="128"/>
      <c r="AU403" s="128"/>
      <c r="AV403" s="128"/>
      <c r="AW403" s="128"/>
      <c r="AX403" s="128"/>
      <c r="AY403" s="128"/>
      <c r="AZ403" s="128"/>
      <c r="BA403" s="128"/>
      <c r="BB403" s="128"/>
      <c r="BC403" s="128"/>
      <c r="BD403" s="128"/>
      <c r="BE403" s="128"/>
      <c r="BF403" s="128"/>
      <c r="BG403" s="128"/>
      <c r="BH403" s="128"/>
      <c r="BI403" s="128"/>
      <c r="BJ403" s="128"/>
      <c r="BK403" s="128"/>
      <c r="BL403" s="128"/>
      <c r="BM403" s="128"/>
      <c r="BN403" s="128"/>
      <c r="BO403" s="128"/>
      <c r="BP403" s="128"/>
      <c r="BQ403" s="128"/>
      <c r="BR403" s="128"/>
      <c r="BS403" s="128"/>
      <c r="BT403" s="128"/>
      <c r="BU403" s="128"/>
      <c r="BV403" s="128"/>
      <c r="BW403" s="128"/>
      <c r="BX403" s="128"/>
      <c r="BY403" s="128"/>
      <c r="BZ403" s="128"/>
      <c r="CA403" s="128"/>
      <c r="CB403" s="128"/>
      <c r="CC403" s="128"/>
      <c r="CD403" s="128"/>
      <c r="CE403" s="128"/>
      <c r="CF403" s="128"/>
      <c r="CG403" s="128"/>
      <c r="CH403" s="128"/>
      <c r="CI403" s="128"/>
      <c r="CJ403" s="128"/>
      <c r="CK403" s="128"/>
      <c r="CL403" s="128"/>
      <c r="CM403" s="128"/>
      <c r="CN403" s="128"/>
      <c r="CO403" s="128"/>
      <c r="CP403" s="128"/>
      <c r="CQ403" s="128"/>
      <c r="CR403" s="128"/>
      <c r="CS403" s="128"/>
      <c r="CT403" s="128"/>
      <c r="CU403" s="128"/>
    </row>
    <row r="404" spans="2:99" ht="14.5" outlineLevel="1" thickBot="1">
      <c r="B404" s="186"/>
      <c r="C404" s="337" t="s">
        <v>471</v>
      </c>
      <c r="D404" s="338"/>
      <c r="E404" s="338"/>
      <c r="F404" s="346"/>
      <c r="G404" s="346"/>
      <c r="H404" s="150"/>
      <c r="I404" s="150">
        <f>I374+I401</f>
        <v>-1559.3967699805812</v>
      </c>
      <c r="J404" s="150">
        <f t="shared" ref="J404:AG404" ca="1" si="146">J374+J401</f>
        <v>-1156.4214162499984</v>
      </c>
      <c r="K404" s="150">
        <f t="shared" ca="1" si="146"/>
        <v>-685.16956925571185</v>
      </c>
      <c r="L404" s="150">
        <f t="shared" ca="1" si="146"/>
        <v>-137.22280651060146</v>
      </c>
      <c r="M404" s="150">
        <f ca="1">M374+M401</f>
        <v>496.85304890628322</v>
      </c>
      <c r="N404" s="150">
        <f t="shared" ca="1" si="146"/>
        <v>1227.6299235347583</v>
      </c>
      <c r="O404" s="150">
        <f t="shared" ca="1" si="146"/>
        <v>1029.9426951363189</v>
      </c>
      <c r="P404" s="150">
        <f t="shared" ca="1" si="146"/>
        <v>829.63516113165088</v>
      </c>
      <c r="Q404" s="150">
        <f t="shared" ca="1" si="146"/>
        <v>626.64691477486349</v>
      </c>
      <c r="R404" s="150">
        <f t="shared" ca="1" si="146"/>
        <v>420.91638918842773</v>
      </c>
      <c r="S404" s="150">
        <f t="shared" ca="1" si="146"/>
        <v>212.38083387356664</v>
      </c>
      <c r="T404" s="150">
        <f t="shared" ca="1" si="146"/>
        <v>0.97629075101440321</v>
      </c>
      <c r="U404" s="150">
        <f t="shared" ca="1" si="146"/>
        <v>-213.3624302751773</v>
      </c>
      <c r="V404" s="150">
        <f t="shared" ca="1" si="146"/>
        <v>-430.7017762408318</v>
      </c>
      <c r="W404" s="150">
        <f t="shared" ca="1" si="146"/>
        <v>-651.10947654162783</v>
      </c>
      <c r="X404" s="150">
        <f t="shared" ca="1" si="146"/>
        <v>-874.65456875728955</v>
      </c>
      <c r="Y404" s="150">
        <f t="shared" ca="1" si="146"/>
        <v>-1101.4074255050598</v>
      </c>
      <c r="Z404" s="150">
        <f t="shared" ca="1" si="146"/>
        <v>-1331.43978079555</v>
      </c>
      <c r="AA404" s="150">
        <f t="shared" ca="1" si="146"/>
        <v>-1564.8247579511669</v>
      </c>
      <c r="AB404" s="150">
        <f t="shared" ca="1" si="146"/>
        <v>-1801.6368975606581</v>
      </c>
      <c r="AC404" s="150">
        <f t="shared" ca="1" si="146"/>
        <v>-2041.9521860956372</v>
      </c>
      <c r="AD404" s="150">
        <f t="shared" ca="1" si="146"/>
        <v>-2285.8480850978121</v>
      </c>
      <c r="AE404" s="150">
        <f t="shared" ca="1" si="146"/>
        <v>-3536.540976266796</v>
      </c>
      <c r="AF404" s="150">
        <f t="shared" ca="1" si="146"/>
        <v>-3781.8177060575417</v>
      </c>
      <c r="AG404" s="150">
        <f t="shared" ca="1" si="146"/>
        <v>-4030.9526949825104</v>
      </c>
      <c r="AH404" s="128"/>
      <c r="AI404" s="128"/>
      <c r="AJ404" s="128"/>
      <c r="AK404" s="128"/>
      <c r="AL404" s="128"/>
      <c r="AM404" s="128"/>
      <c r="AN404" s="128"/>
      <c r="AO404" s="128"/>
      <c r="AP404" s="128"/>
      <c r="AQ404" s="128"/>
      <c r="AR404" s="128"/>
      <c r="AS404" s="128"/>
      <c r="AT404" s="128"/>
      <c r="AU404" s="128"/>
      <c r="AV404" s="128"/>
      <c r="AW404" s="128"/>
      <c r="AX404" s="128"/>
      <c r="AY404" s="128"/>
      <c r="AZ404" s="128"/>
      <c r="BA404" s="128"/>
      <c r="BB404" s="128"/>
      <c r="BC404" s="128"/>
      <c r="BD404" s="128"/>
      <c r="BE404" s="128"/>
      <c r="BF404" s="128"/>
      <c r="BG404" s="128"/>
      <c r="BH404" s="128"/>
      <c r="BI404" s="128"/>
      <c r="BJ404" s="128"/>
      <c r="BK404" s="128"/>
      <c r="BL404" s="128"/>
      <c r="BM404" s="128"/>
      <c r="BN404" s="128"/>
      <c r="BO404" s="128"/>
      <c r="BP404" s="128"/>
      <c r="BQ404" s="128"/>
      <c r="BR404" s="128"/>
      <c r="BS404" s="128"/>
      <c r="BT404" s="128"/>
      <c r="BU404" s="128"/>
      <c r="BV404" s="128"/>
      <c r="BW404" s="128"/>
      <c r="BX404" s="128"/>
      <c r="BY404" s="128"/>
      <c r="BZ404" s="128"/>
      <c r="CA404" s="128"/>
      <c r="CB404" s="128"/>
      <c r="CC404" s="128"/>
      <c r="CD404" s="128"/>
      <c r="CE404" s="128"/>
      <c r="CF404" s="128"/>
      <c r="CG404" s="128"/>
      <c r="CH404" s="128"/>
      <c r="CI404" s="128"/>
      <c r="CJ404" s="128"/>
      <c r="CK404" s="128"/>
      <c r="CL404" s="128"/>
      <c r="CM404" s="128"/>
      <c r="CN404" s="128"/>
      <c r="CO404" s="128"/>
      <c r="CP404" s="128"/>
      <c r="CQ404" s="128"/>
      <c r="CR404" s="128"/>
      <c r="CS404" s="128"/>
      <c r="CT404" s="128"/>
      <c r="CU404" s="128"/>
    </row>
    <row r="405" spans="2:99" ht="14.5" outlineLevel="1" thickBot="1">
      <c r="B405" s="186"/>
      <c r="C405" s="337" t="s">
        <v>472</v>
      </c>
      <c r="D405" s="338"/>
      <c r="E405" s="338"/>
      <c r="F405" s="346"/>
      <c r="G405" s="346"/>
      <c r="H405" s="150"/>
      <c r="I405" s="150">
        <f t="shared" ref="I405:AG405" si="147">IF(AND(I404&gt;0),IF(H406&gt;2/3*I404,2/3*I404,H406),0)</f>
        <v>0</v>
      </c>
      <c r="J405" s="150">
        <f t="shared" ca="1" si="147"/>
        <v>0</v>
      </c>
      <c r="K405" s="150">
        <f t="shared" ca="1" si="147"/>
        <v>0</v>
      </c>
      <c r="L405" s="150">
        <f t="shared" ca="1" si="147"/>
        <v>0</v>
      </c>
      <c r="M405" s="150">
        <f t="shared" ca="1" si="147"/>
        <v>0</v>
      </c>
      <c r="N405" s="150">
        <f t="shared" ca="1" si="147"/>
        <v>0</v>
      </c>
      <c r="O405" s="150">
        <f t="shared" ca="1" si="147"/>
        <v>0</v>
      </c>
      <c r="P405" s="150">
        <f t="shared" ca="1" si="147"/>
        <v>0</v>
      </c>
      <c r="Q405" s="150">
        <f t="shared" ca="1" si="147"/>
        <v>0</v>
      </c>
      <c r="R405" s="150">
        <f t="shared" ca="1" si="147"/>
        <v>0</v>
      </c>
      <c r="S405" s="150">
        <f t="shared" ca="1" si="147"/>
        <v>0</v>
      </c>
      <c r="T405" s="150">
        <f t="shared" ca="1" si="147"/>
        <v>0</v>
      </c>
      <c r="U405" s="150">
        <f t="shared" ca="1" si="147"/>
        <v>0</v>
      </c>
      <c r="V405" s="150">
        <f t="shared" ca="1" si="147"/>
        <v>0</v>
      </c>
      <c r="W405" s="150">
        <f t="shared" ca="1" si="147"/>
        <v>0</v>
      </c>
      <c r="X405" s="150">
        <f t="shared" ca="1" si="147"/>
        <v>0</v>
      </c>
      <c r="Y405" s="150">
        <f t="shared" ca="1" si="147"/>
        <v>0</v>
      </c>
      <c r="Z405" s="150">
        <f t="shared" ca="1" si="147"/>
        <v>0</v>
      </c>
      <c r="AA405" s="150">
        <f t="shared" ca="1" si="147"/>
        <v>0</v>
      </c>
      <c r="AB405" s="150">
        <f t="shared" ca="1" si="147"/>
        <v>0</v>
      </c>
      <c r="AC405" s="150">
        <f t="shared" ca="1" si="147"/>
        <v>0</v>
      </c>
      <c r="AD405" s="150">
        <f t="shared" ca="1" si="147"/>
        <v>0</v>
      </c>
      <c r="AE405" s="150">
        <f t="shared" ca="1" si="147"/>
        <v>0</v>
      </c>
      <c r="AF405" s="150">
        <f t="shared" ca="1" si="147"/>
        <v>0</v>
      </c>
      <c r="AG405" s="150">
        <f t="shared" ca="1" si="147"/>
        <v>0</v>
      </c>
      <c r="AH405" s="128"/>
      <c r="AI405" s="128"/>
      <c r="AJ405" s="128"/>
      <c r="AK405" s="128"/>
      <c r="AL405" s="128"/>
      <c r="AM405" s="128"/>
      <c r="AN405" s="128"/>
      <c r="AO405" s="128"/>
      <c r="AP405" s="128"/>
      <c r="AQ405" s="128"/>
      <c r="AR405" s="128"/>
      <c r="AS405" s="128"/>
      <c r="AT405" s="128"/>
      <c r="AU405" s="128"/>
      <c r="AV405" s="128"/>
      <c r="AW405" s="128"/>
      <c r="AX405" s="128"/>
      <c r="AY405" s="128"/>
      <c r="AZ405" s="128"/>
      <c r="BA405" s="128"/>
      <c r="BB405" s="128"/>
      <c r="BC405" s="128"/>
      <c r="BD405" s="128"/>
      <c r="BE405" s="128"/>
      <c r="BF405" s="128"/>
      <c r="BG405" s="128"/>
      <c r="BH405" s="128"/>
      <c r="BI405" s="128"/>
      <c r="BJ405" s="128"/>
      <c r="BK405" s="128"/>
      <c r="BL405" s="128"/>
      <c r="BM405" s="128"/>
      <c r="BN405" s="128"/>
      <c r="BO405" s="128"/>
      <c r="BP405" s="128"/>
      <c r="BQ405" s="128"/>
      <c r="BR405" s="128"/>
      <c r="BS405" s="128"/>
      <c r="BT405" s="128"/>
      <c r="BU405" s="128"/>
      <c r="BV405" s="128"/>
      <c r="BW405" s="128"/>
      <c r="BX405" s="128"/>
      <c r="BY405" s="128"/>
      <c r="BZ405" s="128"/>
      <c r="CA405" s="128"/>
      <c r="CB405" s="128"/>
      <c r="CC405" s="128"/>
      <c r="CD405" s="128"/>
      <c r="CE405" s="128"/>
      <c r="CF405" s="128"/>
      <c r="CG405" s="128"/>
      <c r="CH405" s="128"/>
      <c r="CI405" s="128"/>
      <c r="CJ405" s="128"/>
      <c r="CK405" s="128"/>
      <c r="CL405" s="128"/>
      <c r="CM405" s="128"/>
      <c r="CN405" s="128"/>
      <c r="CO405" s="128"/>
      <c r="CP405" s="128"/>
      <c r="CQ405" s="128"/>
      <c r="CR405" s="128"/>
      <c r="CS405" s="128"/>
      <c r="CT405" s="128"/>
      <c r="CU405" s="128"/>
    </row>
    <row r="406" spans="2:99" ht="14.5" outlineLevel="1" thickBot="1">
      <c r="B406" s="186"/>
      <c r="C406" s="337" t="s">
        <v>473</v>
      </c>
      <c r="D406" s="338"/>
      <c r="E406" s="338"/>
      <c r="F406" s="346"/>
      <c r="G406" s="346"/>
      <c r="H406" s="150">
        <f>SUM(H152+H153+H156)*D32</f>
        <v>0</v>
      </c>
      <c r="I406" s="150">
        <f>H406+I148*$D$32</f>
        <v>0</v>
      </c>
      <c r="J406" s="150">
        <f t="shared" ref="J406:AG406" ca="1" si="148">I406-J405+J148*$D$32</f>
        <v>0</v>
      </c>
      <c r="K406" s="150">
        <f t="shared" ca="1" si="148"/>
        <v>0</v>
      </c>
      <c r="L406" s="150">
        <f t="shared" ca="1" si="148"/>
        <v>0</v>
      </c>
      <c r="M406" s="150">
        <f t="shared" ca="1" si="148"/>
        <v>0</v>
      </c>
      <c r="N406" s="150">
        <f t="shared" ca="1" si="148"/>
        <v>0</v>
      </c>
      <c r="O406" s="150">
        <f t="shared" ca="1" si="148"/>
        <v>0</v>
      </c>
      <c r="P406" s="150">
        <f t="shared" ca="1" si="148"/>
        <v>0</v>
      </c>
      <c r="Q406" s="150">
        <f t="shared" ca="1" si="148"/>
        <v>0</v>
      </c>
      <c r="R406" s="150">
        <f t="shared" ca="1" si="148"/>
        <v>0</v>
      </c>
      <c r="S406" s="150">
        <f t="shared" ca="1" si="148"/>
        <v>0</v>
      </c>
      <c r="T406" s="150">
        <f t="shared" ca="1" si="148"/>
        <v>0</v>
      </c>
      <c r="U406" s="150">
        <f t="shared" ca="1" si="148"/>
        <v>0</v>
      </c>
      <c r="V406" s="150">
        <f t="shared" ca="1" si="148"/>
        <v>0</v>
      </c>
      <c r="W406" s="150">
        <f t="shared" ca="1" si="148"/>
        <v>0</v>
      </c>
      <c r="X406" s="150">
        <f t="shared" ca="1" si="148"/>
        <v>0</v>
      </c>
      <c r="Y406" s="150">
        <f t="shared" ca="1" si="148"/>
        <v>0</v>
      </c>
      <c r="Z406" s="150">
        <f t="shared" ca="1" si="148"/>
        <v>0</v>
      </c>
      <c r="AA406" s="150">
        <f t="shared" ca="1" si="148"/>
        <v>0</v>
      </c>
      <c r="AB406" s="150">
        <f t="shared" ca="1" si="148"/>
        <v>0</v>
      </c>
      <c r="AC406" s="150">
        <f t="shared" ca="1" si="148"/>
        <v>0</v>
      </c>
      <c r="AD406" s="150">
        <f t="shared" ca="1" si="148"/>
        <v>0</v>
      </c>
      <c r="AE406" s="150">
        <f t="shared" ca="1" si="148"/>
        <v>0</v>
      </c>
      <c r="AF406" s="150">
        <f t="shared" ca="1" si="148"/>
        <v>0</v>
      </c>
      <c r="AG406" s="150">
        <f t="shared" ca="1" si="148"/>
        <v>0</v>
      </c>
      <c r="AH406" s="128"/>
      <c r="AI406" s="128"/>
      <c r="AJ406" s="128"/>
      <c r="AK406" s="128"/>
      <c r="AL406" s="128"/>
      <c r="AM406" s="128"/>
      <c r="AN406" s="128"/>
      <c r="AO406" s="128"/>
      <c r="AP406" s="128"/>
      <c r="AQ406" s="128"/>
      <c r="AR406" s="128"/>
      <c r="AS406" s="128"/>
      <c r="AT406" s="128"/>
      <c r="AU406" s="128"/>
      <c r="AV406" s="128"/>
      <c r="AW406" s="128"/>
      <c r="AX406" s="128"/>
      <c r="AY406" s="128"/>
      <c r="AZ406" s="128"/>
      <c r="BA406" s="128"/>
      <c r="BB406" s="128"/>
      <c r="BC406" s="128"/>
      <c r="BD406" s="128"/>
      <c r="BE406" s="128"/>
      <c r="BF406" s="128"/>
      <c r="BG406" s="128"/>
      <c r="BH406" s="128"/>
      <c r="BI406" s="128"/>
      <c r="BJ406" s="128"/>
      <c r="BK406" s="128"/>
      <c r="BL406" s="128"/>
      <c r="BM406" s="128"/>
      <c r="BN406" s="128"/>
      <c r="BO406" s="128"/>
      <c r="BP406" s="128"/>
      <c r="BQ406" s="128"/>
      <c r="BR406" s="128"/>
      <c r="BS406" s="128"/>
      <c r="BT406" s="128"/>
      <c r="BU406" s="128"/>
      <c r="BV406" s="128"/>
      <c r="BW406" s="128"/>
      <c r="BX406" s="128"/>
      <c r="BY406" s="128"/>
      <c r="BZ406" s="128"/>
      <c r="CA406" s="128"/>
      <c r="CB406" s="128"/>
      <c r="CC406" s="128"/>
      <c r="CD406" s="128"/>
      <c r="CE406" s="128"/>
      <c r="CF406" s="128"/>
      <c r="CG406" s="128"/>
      <c r="CH406" s="128"/>
      <c r="CI406" s="128"/>
      <c r="CJ406" s="128"/>
      <c r="CK406" s="128"/>
      <c r="CL406" s="128"/>
      <c r="CM406" s="128"/>
      <c r="CN406" s="128"/>
      <c r="CO406" s="128"/>
      <c r="CP406" s="128"/>
      <c r="CQ406" s="128"/>
      <c r="CR406" s="128"/>
      <c r="CS406" s="128"/>
      <c r="CT406" s="128"/>
      <c r="CU406" s="128"/>
    </row>
    <row r="407" spans="2:99" ht="14.5" outlineLevel="1" thickBot="1">
      <c r="B407" s="186"/>
      <c r="C407" s="337" t="s">
        <v>474</v>
      </c>
      <c r="D407" s="338"/>
      <c r="E407" s="338"/>
      <c r="F407" s="346"/>
      <c r="G407" s="346"/>
      <c r="H407" s="150"/>
      <c r="I407" s="150">
        <f t="shared" ref="I407:AG407" si="149">IF(H401&lt;0,-H401,0)</f>
        <v>0</v>
      </c>
      <c r="J407" s="150">
        <f>IF(I401&lt;0,-I401,0)</f>
        <v>4222.5609970868081</v>
      </c>
      <c r="K407" s="150">
        <f t="shared" ca="1" si="149"/>
        <v>3819.5856433562253</v>
      </c>
      <c r="L407" s="150">
        <f t="shared" ca="1" si="149"/>
        <v>3348.3337963619388</v>
      </c>
      <c r="M407" s="150">
        <f t="shared" ca="1" si="149"/>
        <v>2800.3870336168284</v>
      </c>
      <c r="N407" s="150">
        <f t="shared" ca="1" si="149"/>
        <v>2166.3111781999437</v>
      </c>
      <c r="O407" s="150">
        <f t="shared" ca="1" si="149"/>
        <v>1435.5343035714686</v>
      </c>
      <c r="P407" s="150">
        <f t="shared" ca="1" si="149"/>
        <v>1633.221531969908</v>
      </c>
      <c r="Q407" s="150">
        <f t="shared" ca="1" si="149"/>
        <v>1833.529065974576</v>
      </c>
      <c r="R407" s="150">
        <f t="shared" ca="1" si="149"/>
        <v>2036.5173123313634</v>
      </c>
      <c r="S407" s="150">
        <f t="shared" ca="1" si="149"/>
        <v>2242.2478379177992</v>
      </c>
      <c r="T407" s="150">
        <f t="shared" ca="1" si="149"/>
        <v>2450.7833932326603</v>
      </c>
      <c r="U407" s="150">
        <f t="shared" ca="1" si="149"/>
        <v>2662.1879363552125</v>
      </c>
      <c r="V407" s="150">
        <f t="shared" ca="1" si="149"/>
        <v>2876.5266573814042</v>
      </c>
      <c r="W407" s="150">
        <f t="shared" ca="1" si="149"/>
        <v>3093.8660033470587</v>
      </c>
      <c r="X407" s="150">
        <f t="shared" ca="1" si="149"/>
        <v>3314.2737036478547</v>
      </c>
      <c r="Y407" s="150">
        <f t="shared" ca="1" si="149"/>
        <v>2821.0145533315585</v>
      </c>
      <c r="Z407" s="150">
        <f t="shared" ca="1" si="149"/>
        <v>3047.7674100793288</v>
      </c>
      <c r="AA407" s="150">
        <f t="shared" ca="1" si="149"/>
        <v>3277.7997653698189</v>
      </c>
      <c r="AB407" s="150">
        <f t="shared" ca="1" si="149"/>
        <v>3511.1847425254359</v>
      </c>
      <c r="AC407" s="150">
        <f t="shared" ca="1" si="149"/>
        <v>3747.9968821349271</v>
      </c>
      <c r="AD407" s="150">
        <f t="shared" ca="1" si="149"/>
        <v>3988.3121706699062</v>
      </c>
      <c r="AE407" s="150">
        <f t="shared" ca="1" si="149"/>
        <v>4232.2080696720814</v>
      </c>
      <c r="AF407" s="150">
        <f t="shared" ca="1" si="149"/>
        <v>5482.9009608410652</v>
      </c>
      <c r="AG407" s="150">
        <f t="shared" ca="1" si="149"/>
        <v>5728.1776906318109</v>
      </c>
      <c r="AH407" s="128"/>
      <c r="AI407" s="128"/>
      <c r="AJ407" s="128"/>
      <c r="AK407" s="128"/>
      <c r="AL407" s="128"/>
      <c r="AM407" s="128"/>
      <c r="AN407" s="128"/>
      <c r="AO407" s="128"/>
      <c r="AP407" s="128"/>
      <c r="AQ407" s="128"/>
      <c r="AR407" s="128"/>
      <c r="AS407" s="128"/>
      <c r="AT407" s="128"/>
      <c r="AU407" s="128"/>
      <c r="AV407" s="128"/>
      <c r="AW407" s="128"/>
      <c r="AX407" s="128"/>
      <c r="AY407" s="128"/>
      <c r="AZ407" s="128"/>
      <c r="BA407" s="128"/>
      <c r="BB407" s="128"/>
      <c r="BC407" s="128"/>
      <c r="BD407" s="128"/>
      <c r="BE407" s="128"/>
      <c r="BF407" s="128"/>
      <c r="BG407" s="128"/>
      <c r="BH407" s="128"/>
      <c r="BI407" s="128"/>
      <c r="BJ407" s="128"/>
      <c r="BK407" s="128"/>
      <c r="BL407" s="128"/>
      <c r="BM407" s="128"/>
      <c r="BN407" s="128"/>
      <c r="BO407" s="128"/>
      <c r="BP407" s="128"/>
      <c r="BQ407" s="128"/>
      <c r="BR407" s="128"/>
      <c r="BS407" s="128"/>
      <c r="BT407" s="128"/>
      <c r="BU407" s="128"/>
      <c r="BV407" s="128"/>
      <c r="BW407" s="128"/>
      <c r="BX407" s="128"/>
      <c r="BY407" s="128"/>
      <c r="BZ407" s="128"/>
      <c r="CA407" s="128"/>
      <c r="CB407" s="128"/>
      <c r="CC407" s="128"/>
      <c r="CD407" s="128"/>
      <c r="CE407" s="128"/>
      <c r="CF407" s="128"/>
      <c r="CG407" s="128"/>
      <c r="CH407" s="128"/>
      <c r="CI407" s="128"/>
      <c r="CJ407" s="128"/>
      <c r="CK407" s="128"/>
      <c r="CL407" s="128"/>
      <c r="CM407" s="128"/>
      <c r="CN407" s="128"/>
      <c r="CO407" s="128"/>
      <c r="CP407" s="128"/>
      <c r="CQ407" s="128"/>
      <c r="CR407" s="128"/>
      <c r="CS407" s="128"/>
      <c r="CT407" s="128"/>
      <c r="CU407" s="128"/>
    </row>
    <row r="408" spans="2:99" ht="15" outlineLevel="1" thickTop="1" thickBot="1">
      <c r="B408" s="292"/>
      <c r="C408" s="293" t="s">
        <v>475</v>
      </c>
      <c r="D408" s="294"/>
      <c r="E408" s="294"/>
      <c r="F408" s="375"/>
      <c r="G408" s="341"/>
      <c r="H408" s="271"/>
      <c r="I408" s="271">
        <f t="shared" ref="I408:AG408" si="150">I405+I407</f>
        <v>0</v>
      </c>
      <c r="J408" s="271">
        <f t="shared" ca="1" si="150"/>
        <v>4222.5609970868081</v>
      </c>
      <c r="K408" s="271">
        <f t="shared" ca="1" si="150"/>
        <v>3819.5856433562253</v>
      </c>
      <c r="L408" s="271">
        <f t="shared" ca="1" si="150"/>
        <v>3348.3337963619388</v>
      </c>
      <c r="M408" s="271">
        <f t="shared" ca="1" si="150"/>
        <v>2800.3870336168284</v>
      </c>
      <c r="N408" s="271">
        <f t="shared" ca="1" si="150"/>
        <v>2166.3111781999437</v>
      </c>
      <c r="O408" s="271">
        <f t="shared" ca="1" si="150"/>
        <v>1435.5343035714686</v>
      </c>
      <c r="P408" s="271">
        <f t="shared" ca="1" si="150"/>
        <v>1633.221531969908</v>
      </c>
      <c r="Q408" s="271">
        <f t="shared" ca="1" si="150"/>
        <v>1833.529065974576</v>
      </c>
      <c r="R408" s="271">
        <f t="shared" ca="1" si="150"/>
        <v>2036.5173123313634</v>
      </c>
      <c r="S408" s="271">
        <f t="shared" ca="1" si="150"/>
        <v>2242.2478379177992</v>
      </c>
      <c r="T408" s="271">
        <f t="shared" ca="1" si="150"/>
        <v>2450.7833932326603</v>
      </c>
      <c r="U408" s="271">
        <f t="shared" ca="1" si="150"/>
        <v>2662.1879363552125</v>
      </c>
      <c r="V408" s="271">
        <f t="shared" ca="1" si="150"/>
        <v>2876.5266573814042</v>
      </c>
      <c r="W408" s="271">
        <f t="shared" ca="1" si="150"/>
        <v>3093.8660033470587</v>
      </c>
      <c r="X408" s="271">
        <f t="shared" ca="1" si="150"/>
        <v>3314.2737036478547</v>
      </c>
      <c r="Y408" s="271">
        <f t="shared" ca="1" si="150"/>
        <v>2821.0145533315585</v>
      </c>
      <c r="Z408" s="271">
        <f t="shared" ca="1" si="150"/>
        <v>3047.7674100793288</v>
      </c>
      <c r="AA408" s="271">
        <f t="shared" ca="1" si="150"/>
        <v>3277.7997653698189</v>
      </c>
      <c r="AB408" s="271">
        <f t="shared" ca="1" si="150"/>
        <v>3511.1847425254359</v>
      </c>
      <c r="AC408" s="271">
        <f t="shared" ca="1" si="150"/>
        <v>3747.9968821349271</v>
      </c>
      <c r="AD408" s="271">
        <f t="shared" ca="1" si="150"/>
        <v>3988.3121706699062</v>
      </c>
      <c r="AE408" s="271">
        <f t="shared" ca="1" si="150"/>
        <v>4232.2080696720814</v>
      </c>
      <c r="AF408" s="271">
        <f t="shared" ca="1" si="150"/>
        <v>5482.9009608410652</v>
      </c>
      <c r="AG408" s="271">
        <f t="shared" ca="1" si="150"/>
        <v>5728.1776906318109</v>
      </c>
      <c r="AH408" s="128"/>
      <c r="AI408" s="128"/>
      <c r="AJ408" s="128"/>
      <c r="AK408" s="128"/>
      <c r="AL408" s="128"/>
      <c r="AM408" s="128"/>
      <c r="AN408" s="128"/>
      <c r="AO408" s="128"/>
      <c r="AP408" s="128"/>
      <c r="AQ408" s="128"/>
      <c r="AR408" s="128"/>
      <c r="AS408" s="128"/>
      <c r="AT408" s="128"/>
      <c r="AU408" s="128"/>
      <c r="AV408" s="128"/>
      <c r="AW408" s="128"/>
      <c r="AX408" s="128"/>
      <c r="AY408" s="128"/>
      <c r="AZ408" s="128"/>
      <c r="BA408" s="128"/>
      <c r="BB408" s="128"/>
      <c r="BC408" s="128"/>
      <c r="BD408" s="128"/>
      <c r="BE408" s="128"/>
      <c r="BF408" s="128"/>
      <c r="BG408" s="128"/>
      <c r="BH408" s="128"/>
      <c r="BI408" s="128"/>
      <c r="BJ408" s="128"/>
      <c r="BK408" s="128"/>
      <c r="BL408" s="128"/>
      <c r="BM408" s="128"/>
      <c r="BN408" s="128"/>
      <c r="BO408" s="128"/>
      <c r="BP408" s="128"/>
      <c r="BQ408" s="128"/>
      <c r="BR408" s="128"/>
      <c r="BS408" s="128"/>
      <c r="BT408" s="128"/>
      <c r="BU408" s="128"/>
      <c r="BV408" s="128"/>
      <c r="BW408" s="128"/>
      <c r="BX408" s="128"/>
      <c r="BY408" s="128"/>
      <c r="BZ408" s="128"/>
      <c r="CA408" s="128"/>
      <c r="CB408" s="128"/>
      <c r="CC408" s="128"/>
      <c r="CD408" s="128"/>
      <c r="CE408" s="128"/>
      <c r="CF408" s="128"/>
      <c r="CG408" s="128"/>
      <c r="CH408" s="128"/>
      <c r="CI408" s="128"/>
      <c r="CJ408" s="128"/>
      <c r="CK408" s="128"/>
      <c r="CL408" s="128"/>
      <c r="CM408" s="128"/>
      <c r="CN408" s="128"/>
      <c r="CO408" s="128"/>
      <c r="CP408" s="128"/>
      <c r="CQ408" s="128"/>
      <c r="CR408" s="128"/>
      <c r="CS408" s="128"/>
      <c r="CT408" s="128"/>
      <c r="CU408" s="128"/>
    </row>
    <row r="409" spans="2:99" ht="15" outlineLevel="1" thickTop="1" thickBot="1">
      <c r="B409" s="186"/>
      <c r="C409" s="376" t="s">
        <v>476</v>
      </c>
      <c r="D409" s="377"/>
      <c r="E409" s="377"/>
      <c r="F409" s="378"/>
      <c r="G409" s="378"/>
      <c r="H409" s="379"/>
      <c r="I409" s="182">
        <f>IF(,0,IF(I404-I408&gt;0,I404-I408,0))</f>
        <v>0</v>
      </c>
      <c r="J409" s="182">
        <f t="shared" ref="J409:AG409" ca="1" si="151">IF(,0,IF(J404-J408&gt;0,J404-J408,0))</f>
        <v>0</v>
      </c>
      <c r="K409" s="182">
        <f t="shared" ca="1" si="151"/>
        <v>0</v>
      </c>
      <c r="L409" s="182">
        <f t="shared" ca="1" si="151"/>
        <v>0</v>
      </c>
      <c r="M409" s="182">
        <f t="shared" ca="1" si="151"/>
        <v>0</v>
      </c>
      <c r="N409" s="182">
        <f t="shared" ca="1" si="151"/>
        <v>0</v>
      </c>
      <c r="O409" s="182">
        <f t="shared" ca="1" si="151"/>
        <v>0</v>
      </c>
      <c r="P409" s="182">
        <f t="shared" ca="1" si="151"/>
        <v>0</v>
      </c>
      <c r="Q409" s="182">
        <f t="shared" ca="1" si="151"/>
        <v>0</v>
      </c>
      <c r="R409" s="182">
        <f t="shared" ca="1" si="151"/>
        <v>0</v>
      </c>
      <c r="S409" s="182">
        <f t="shared" ca="1" si="151"/>
        <v>0</v>
      </c>
      <c r="T409" s="182">
        <f t="shared" ca="1" si="151"/>
        <v>0</v>
      </c>
      <c r="U409" s="182">
        <f t="shared" ca="1" si="151"/>
        <v>0</v>
      </c>
      <c r="V409" s="182">
        <f t="shared" ca="1" si="151"/>
        <v>0</v>
      </c>
      <c r="W409" s="182">
        <f t="shared" ca="1" si="151"/>
        <v>0</v>
      </c>
      <c r="X409" s="182">
        <f t="shared" ca="1" si="151"/>
        <v>0</v>
      </c>
      <c r="Y409" s="182">
        <f t="shared" ca="1" si="151"/>
        <v>0</v>
      </c>
      <c r="Z409" s="182">
        <f t="shared" ca="1" si="151"/>
        <v>0</v>
      </c>
      <c r="AA409" s="182">
        <f t="shared" ca="1" si="151"/>
        <v>0</v>
      </c>
      <c r="AB409" s="182">
        <f t="shared" ca="1" si="151"/>
        <v>0</v>
      </c>
      <c r="AC409" s="182">
        <f t="shared" ca="1" si="151"/>
        <v>0</v>
      </c>
      <c r="AD409" s="182">
        <f t="shared" ca="1" si="151"/>
        <v>0</v>
      </c>
      <c r="AE409" s="182">
        <f t="shared" ca="1" si="151"/>
        <v>0</v>
      </c>
      <c r="AF409" s="182">
        <f t="shared" ca="1" si="151"/>
        <v>0</v>
      </c>
      <c r="AG409" s="182">
        <f t="shared" ca="1" si="151"/>
        <v>0</v>
      </c>
      <c r="AH409" s="128"/>
      <c r="AI409" s="128"/>
      <c r="AJ409" s="128"/>
      <c r="AK409" s="128"/>
      <c r="AL409" s="128"/>
      <c r="AM409" s="128"/>
      <c r="AN409" s="128"/>
      <c r="AO409" s="128"/>
      <c r="AP409" s="128"/>
      <c r="AQ409" s="128"/>
      <c r="AR409" s="128"/>
      <c r="AS409" s="128"/>
      <c r="AT409" s="128"/>
      <c r="AU409" s="128"/>
      <c r="AV409" s="128"/>
      <c r="AW409" s="128"/>
      <c r="AX409" s="128"/>
      <c r="AY409" s="128"/>
      <c r="AZ409" s="128"/>
      <c r="BA409" s="128"/>
      <c r="BB409" s="128"/>
      <c r="BC409" s="128"/>
      <c r="BD409" s="128"/>
      <c r="BE409" s="128"/>
      <c r="BF409" s="128"/>
      <c r="BG409" s="128"/>
      <c r="BH409" s="128"/>
      <c r="BI409" s="128"/>
      <c r="BJ409" s="128"/>
      <c r="BK409" s="128"/>
      <c r="BL409" s="128"/>
      <c r="BM409" s="128"/>
      <c r="BN409" s="128"/>
      <c r="BO409" s="128"/>
      <c r="BP409" s="128"/>
      <c r="BQ409" s="128"/>
      <c r="BR409" s="128"/>
      <c r="BS409" s="128"/>
      <c r="BT409" s="128"/>
      <c r="BU409" s="128"/>
      <c r="BV409" s="128"/>
      <c r="BW409" s="128"/>
      <c r="BX409" s="128"/>
      <c r="BY409" s="128"/>
      <c r="BZ409" s="128"/>
      <c r="CA409" s="128"/>
      <c r="CB409" s="128"/>
      <c r="CC409" s="128"/>
      <c r="CD409" s="128"/>
      <c r="CE409" s="128"/>
      <c r="CF409" s="128"/>
      <c r="CG409" s="128"/>
      <c r="CH409" s="128"/>
      <c r="CI409" s="128"/>
      <c r="CJ409" s="128"/>
      <c r="CK409" s="128"/>
      <c r="CL409" s="128"/>
      <c r="CM409" s="128"/>
      <c r="CN409" s="128"/>
      <c r="CO409" s="128"/>
      <c r="CP409" s="128"/>
      <c r="CQ409" s="128"/>
      <c r="CR409" s="128"/>
      <c r="CS409" s="128"/>
      <c r="CT409" s="128"/>
      <c r="CU409" s="128"/>
    </row>
    <row r="410" spans="2:99" ht="14.5" outlineLevel="1" thickBot="1">
      <c r="B410" s="186"/>
      <c r="C410" s="337" t="s">
        <v>265</v>
      </c>
      <c r="D410" s="338"/>
      <c r="E410" s="338"/>
      <c r="F410" s="346"/>
      <c r="G410" s="346"/>
      <c r="H410" s="150"/>
      <c r="I410" s="150">
        <f t="shared" ref="I410:AG410" si="152">IFERROR(MAX(IF(I409&gt;0,$D$30*I409,0),IF(I1-1&lt;$D$18,0,0.5%*I376)),"")</f>
        <v>0</v>
      </c>
      <c r="J410" s="150">
        <f t="shared" ca="1" si="152"/>
        <v>0</v>
      </c>
      <c r="K410" s="150">
        <f t="shared" ca="1" si="152"/>
        <v>0</v>
      </c>
      <c r="L410" s="150">
        <f t="shared" ca="1" si="152"/>
        <v>0</v>
      </c>
      <c r="M410" s="150">
        <f t="shared" ca="1" si="152"/>
        <v>0</v>
      </c>
      <c r="N410" s="150">
        <f t="shared" ca="1" si="152"/>
        <v>0</v>
      </c>
      <c r="O410" s="150">
        <f t="shared" ca="1" si="152"/>
        <v>0</v>
      </c>
      <c r="P410" s="150">
        <f t="shared" ca="1" si="152"/>
        <v>0</v>
      </c>
      <c r="Q410" s="150">
        <f t="shared" ca="1" si="152"/>
        <v>0</v>
      </c>
      <c r="R410" s="150">
        <f t="shared" ca="1" si="152"/>
        <v>0</v>
      </c>
      <c r="S410" s="150">
        <f t="shared" ca="1" si="152"/>
        <v>0</v>
      </c>
      <c r="T410" s="150">
        <f t="shared" ca="1" si="152"/>
        <v>0</v>
      </c>
      <c r="U410" s="150">
        <f t="shared" ca="1" si="152"/>
        <v>0</v>
      </c>
      <c r="V410" s="150">
        <f t="shared" ca="1" si="152"/>
        <v>0</v>
      </c>
      <c r="W410" s="150">
        <f t="shared" ca="1" si="152"/>
        <v>0</v>
      </c>
      <c r="X410" s="150">
        <f t="shared" ca="1" si="152"/>
        <v>0</v>
      </c>
      <c r="Y410" s="150">
        <f t="shared" ca="1" si="152"/>
        <v>0</v>
      </c>
      <c r="Z410" s="150">
        <f t="shared" ca="1" si="152"/>
        <v>0</v>
      </c>
      <c r="AA410" s="150">
        <f t="shared" ca="1" si="152"/>
        <v>0</v>
      </c>
      <c r="AB410" s="150">
        <f t="shared" ca="1" si="152"/>
        <v>0</v>
      </c>
      <c r="AC410" s="150">
        <f t="shared" ca="1" si="152"/>
        <v>0</v>
      </c>
      <c r="AD410" s="150">
        <f t="shared" ca="1" si="152"/>
        <v>0</v>
      </c>
      <c r="AE410" s="150">
        <f t="shared" ca="1" si="152"/>
        <v>0</v>
      </c>
      <c r="AF410" s="150">
        <f t="shared" ca="1" si="152"/>
        <v>0</v>
      </c>
      <c r="AG410" s="150">
        <f t="shared" ca="1" si="152"/>
        <v>0</v>
      </c>
      <c r="AH410" s="128"/>
      <c r="AI410" s="128"/>
      <c r="AJ410" s="128"/>
      <c r="AK410" s="128"/>
      <c r="AL410" s="128"/>
      <c r="AM410" s="128"/>
      <c r="AN410" s="128"/>
      <c r="AO410" s="128"/>
      <c r="AP410" s="128"/>
      <c r="AQ410" s="128"/>
      <c r="AR410" s="128"/>
      <c r="AS410" s="128"/>
      <c r="AT410" s="128"/>
      <c r="AU410" s="128"/>
      <c r="AV410" s="128"/>
      <c r="AW410" s="128"/>
      <c r="AX410" s="128"/>
      <c r="AY410" s="128"/>
      <c r="AZ410" s="128"/>
      <c r="BA410" s="128"/>
      <c r="BB410" s="128"/>
      <c r="BC410" s="128"/>
      <c r="BD410" s="128"/>
      <c r="BE410" s="128"/>
      <c r="BF410" s="128"/>
      <c r="BG410" s="128"/>
      <c r="BH410" s="128"/>
      <c r="BI410" s="128"/>
      <c r="BJ410" s="128"/>
      <c r="BK410" s="128"/>
      <c r="BL410" s="128"/>
      <c r="BM410" s="128"/>
      <c r="BN410" s="128"/>
      <c r="BO410" s="128"/>
      <c r="BP410" s="128"/>
      <c r="BQ410" s="128"/>
      <c r="BR410" s="128"/>
      <c r="BS410" s="128"/>
      <c r="BT410" s="128"/>
      <c r="BU410" s="128"/>
      <c r="BV410" s="128"/>
      <c r="BW410" s="128"/>
      <c r="BX410" s="128"/>
      <c r="BY410" s="128"/>
      <c r="BZ410" s="128"/>
      <c r="CA410" s="128"/>
      <c r="CB410" s="128"/>
      <c r="CC410" s="128"/>
      <c r="CD410" s="128"/>
      <c r="CE410" s="128"/>
      <c r="CF410" s="128"/>
      <c r="CG410" s="128"/>
      <c r="CH410" s="128"/>
      <c r="CI410" s="128"/>
      <c r="CJ410" s="128"/>
      <c r="CK410" s="128"/>
      <c r="CL410" s="128"/>
      <c r="CM410" s="128"/>
      <c r="CN410" s="128"/>
      <c r="CO410" s="128"/>
      <c r="CP410" s="128"/>
      <c r="CQ410" s="128"/>
      <c r="CR410" s="128"/>
      <c r="CS410" s="128"/>
      <c r="CT410" s="128"/>
      <c r="CU410" s="128"/>
    </row>
    <row r="411" spans="2:99" ht="14.5" outlineLevel="1" thickBot="1">
      <c r="B411" s="186"/>
      <c r="C411" s="337" t="s">
        <v>563</v>
      </c>
      <c r="D411" s="338"/>
      <c r="E411" s="338"/>
      <c r="F411" s="346"/>
      <c r="G411" s="346"/>
      <c r="H411" s="150"/>
      <c r="I411" s="150">
        <f t="shared" ref="I411:AG411" si="153">IF(I1&lt;=$D$27,-I409*(25%-$D$26),0)</f>
        <v>0</v>
      </c>
      <c r="J411" s="150">
        <f t="shared" ca="1" si="153"/>
        <v>0</v>
      </c>
      <c r="K411" s="150">
        <f t="shared" ca="1" si="153"/>
        <v>0</v>
      </c>
      <c r="L411" s="150">
        <f t="shared" ca="1" si="153"/>
        <v>0</v>
      </c>
      <c r="M411" s="150">
        <f t="shared" ca="1" si="153"/>
        <v>0</v>
      </c>
      <c r="N411" s="150">
        <f t="shared" ca="1" si="153"/>
        <v>0</v>
      </c>
      <c r="O411" s="150">
        <f t="shared" ca="1" si="153"/>
        <v>0</v>
      </c>
      <c r="P411" s="150">
        <f t="shared" ca="1" si="153"/>
        <v>0</v>
      </c>
      <c r="Q411" s="150">
        <f t="shared" ca="1" si="153"/>
        <v>0</v>
      </c>
      <c r="R411" s="150">
        <f t="shared" ca="1" si="153"/>
        <v>0</v>
      </c>
      <c r="S411" s="150">
        <f t="shared" si="153"/>
        <v>0</v>
      </c>
      <c r="T411" s="150">
        <f t="shared" si="153"/>
        <v>0</v>
      </c>
      <c r="U411" s="150">
        <f t="shared" si="153"/>
        <v>0</v>
      </c>
      <c r="V411" s="150">
        <f t="shared" si="153"/>
        <v>0</v>
      </c>
      <c r="W411" s="150">
        <f t="shared" si="153"/>
        <v>0</v>
      </c>
      <c r="X411" s="150">
        <f t="shared" si="153"/>
        <v>0</v>
      </c>
      <c r="Y411" s="150">
        <f t="shared" si="153"/>
        <v>0</v>
      </c>
      <c r="Z411" s="150">
        <f t="shared" si="153"/>
        <v>0</v>
      </c>
      <c r="AA411" s="150">
        <f t="shared" si="153"/>
        <v>0</v>
      </c>
      <c r="AB411" s="150">
        <f t="shared" si="153"/>
        <v>0</v>
      </c>
      <c r="AC411" s="150">
        <f t="shared" si="153"/>
        <v>0</v>
      </c>
      <c r="AD411" s="150">
        <f t="shared" si="153"/>
        <v>0</v>
      </c>
      <c r="AE411" s="150">
        <f t="shared" si="153"/>
        <v>0</v>
      </c>
      <c r="AF411" s="150">
        <f t="shared" si="153"/>
        <v>0</v>
      </c>
      <c r="AG411" s="150">
        <f t="shared" si="153"/>
        <v>0</v>
      </c>
      <c r="AH411" s="128"/>
      <c r="AI411" s="128"/>
      <c r="AJ411" s="128"/>
      <c r="AK411" s="128"/>
      <c r="AL411" s="128"/>
      <c r="AM411" s="128"/>
      <c r="AN411" s="128"/>
      <c r="AO411" s="128"/>
      <c r="AP411" s="128"/>
      <c r="AQ411" s="128"/>
      <c r="AR411" s="128"/>
      <c r="AS411" s="128"/>
      <c r="AT411" s="128"/>
      <c r="AU411" s="128"/>
      <c r="AV411" s="128"/>
      <c r="AW411" s="128"/>
      <c r="AX411" s="128"/>
      <c r="AY411" s="128"/>
      <c r="AZ411" s="128"/>
      <c r="BA411" s="128"/>
      <c r="BB411" s="128"/>
      <c r="BC411" s="128"/>
      <c r="BD411" s="128"/>
      <c r="BE411" s="128"/>
      <c r="BF411" s="128"/>
      <c r="BG411" s="128"/>
      <c r="BH411" s="128"/>
      <c r="BI411" s="128"/>
      <c r="BJ411" s="128"/>
      <c r="BK411" s="128"/>
      <c r="BL411" s="128"/>
      <c r="BM411" s="128"/>
      <c r="BN411" s="128"/>
      <c r="BO411" s="128"/>
      <c r="BP411" s="128"/>
      <c r="BQ411" s="128"/>
      <c r="BR411" s="128"/>
      <c r="BS411" s="128"/>
      <c r="BT411" s="128"/>
      <c r="BU411" s="128"/>
      <c r="BV411" s="128"/>
      <c r="BW411" s="128"/>
      <c r="BX411" s="128"/>
      <c r="BY411" s="128"/>
      <c r="BZ411" s="128"/>
      <c r="CA411" s="128"/>
      <c r="CB411" s="128"/>
      <c r="CC411" s="128"/>
      <c r="CD411" s="128"/>
      <c r="CE411" s="128"/>
      <c r="CF411" s="128"/>
      <c r="CG411" s="128"/>
      <c r="CH411" s="128"/>
      <c r="CI411" s="128"/>
      <c r="CJ411" s="128"/>
      <c r="CK411" s="128"/>
      <c r="CL411" s="128"/>
      <c r="CM411" s="128"/>
      <c r="CN411" s="128"/>
      <c r="CO411" s="128"/>
      <c r="CP411" s="128"/>
      <c r="CQ411" s="128"/>
      <c r="CR411" s="128"/>
      <c r="CS411" s="128"/>
      <c r="CT411" s="128"/>
      <c r="CU411" s="128"/>
    </row>
    <row r="412" spans="2:99" ht="14.5" outlineLevel="1" thickBot="1">
      <c r="B412" s="186"/>
      <c r="C412" s="337" t="s">
        <v>564</v>
      </c>
      <c r="D412" s="338"/>
      <c r="E412" s="338"/>
      <c r="F412" s="346"/>
      <c r="G412" s="346"/>
      <c r="H412" s="150"/>
      <c r="I412" s="150">
        <f t="shared" ref="I412:R412" si="154">IF(I1&gt;$D$27,IF(I1&lt;=($D$27+$D$29),$D$28*I409,0),0)</f>
        <v>0</v>
      </c>
      <c r="J412" s="150">
        <f t="shared" si="154"/>
        <v>0</v>
      </c>
      <c r="K412" s="150">
        <f t="shared" si="154"/>
        <v>0</v>
      </c>
      <c r="L412" s="150">
        <f t="shared" si="154"/>
        <v>0</v>
      </c>
      <c r="M412" s="150">
        <f t="shared" si="154"/>
        <v>0</v>
      </c>
      <c r="N412" s="150">
        <f t="shared" si="154"/>
        <v>0</v>
      </c>
      <c r="O412" s="150">
        <f t="shared" si="154"/>
        <v>0</v>
      </c>
      <c r="P412" s="150">
        <f t="shared" si="154"/>
        <v>0</v>
      </c>
      <c r="Q412" s="150">
        <f t="shared" si="154"/>
        <v>0</v>
      </c>
      <c r="R412" s="150">
        <f t="shared" si="154"/>
        <v>0</v>
      </c>
      <c r="S412" s="150">
        <f t="shared" ref="S412:AG412" ca="1" si="155">IF(S1&gt;$D$27,IF(S1&lt;=($D$27+$D$29),-($D$30-$D$28)*S409,0),0)</f>
        <v>0</v>
      </c>
      <c r="T412" s="150">
        <f t="shared" ca="1" si="155"/>
        <v>0</v>
      </c>
      <c r="U412" s="150">
        <f t="shared" ca="1" si="155"/>
        <v>0</v>
      </c>
      <c r="V412" s="150">
        <f t="shared" ca="1" si="155"/>
        <v>0</v>
      </c>
      <c r="W412" s="150">
        <f t="shared" ca="1" si="155"/>
        <v>0</v>
      </c>
      <c r="X412" s="150">
        <f t="shared" si="155"/>
        <v>0</v>
      </c>
      <c r="Y412" s="150">
        <f t="shared" si="155"/>
        <v>0</v>
      </c>
      <c r="Z412" s="150">
        <f t="shared" si="155"/>
        <v>0</v>
      </c>
      <c r="AA412" s="150">
        <f t="shared" si="155"/>
        <v>0</v>
      </c>
      <c r="AB412" s="150">
        <f t="shared" si="155"/>
        <v>0</v>
      </c>
      <c r="AC412" s="150">
        <f t="shared" si="155"/>
        <v>0</v>
      </c>
      <c r="AD412" s="150">
        <f t="shared" si="155"/>
        <v>0</v>
      </c>
      <c r="AE412" s="150">
        <f t="shared" si="155"/>
        <v>0</v>
      </c>
      <c r="AF412" s="150">
        <f t="shared" si="155"/>
        <v>0</v>
      </c>
      <c r="AG412" s="150">
        <f t="shared" si="155"/>
        <v>0</v>
      </c>
      <c r="AH412" s="128"/>
      <c r="AI412" s="128"/>
      <c r="AJ412" s="128"/>
      <c r="AK412" s="128"/>
      <c r="AL412" s="128"/>
      <c r="AM412" s="128"/>
      <c r="AN412" s="128"/>
      <c r="AO412" s="128"/>
      <c r="AP412" s="128"/>
      <c r="AQ412" s="128"/>
      <c r="AR412" s="128"/>
      <c r="AS412" s="128"/>
      <c r="AT412" s="128"/>
      <c r="AU412" s="128"/>
      <c r="AV412" s="128"/>
      <c r="AW412" s="128"/>
      <c r="AX412" s="128"/>
      <c r="AY412" s="128"/>
      <c r="AZ412" s="128"/>
      <c r="BA412" s="128"/>
      <c r="BB412" s="128"/>
      <c r="BC412" s="128"/>
      <c r="BD412" s="128"/>
      <c r="BE412" s="128"/>
      <c r="BF412" s="128"/>
      <c r="BG412" s="128"/>
      <c r="BH412" s="128"/>
      <c r="BI412" s="128"/>
      <c r="BJ412" s="128"/>
      <c r="BK412" s="128"/>
      <c r="BL412" s="128"/>
      <c r="BM412" s="128"/>
      <c r="BN412" s="128"/>
      <c r="BO412" s="128"/>
      <c r="BP412" s="128"/>
      <c r="BQ412" s="128"/>
      <c r="BR412" s="128"/>
      <c r="BS412" s="128"/>
      <c r="BT412" s="128"/>
      <c r="BU412" s="128"/>
      <c r="BV412" s="128"/>
      <c r="BW412" s="128"/>
      <c r="BX412" s="128"/>
      <c r="BY412" s="128"/>
      <c r="BZ412" s="128"/>
      <c r="CA412" s="128"/>
      <c r="CB412" s="128"/>
      <c r="CC412" s="128"/>
      <c r="CD412" s="128"/>
      <c r="CE412" s="128"/>
      <c r="CF412" s="128"/>
      <c r="CG412" s="128"/>
      <c r="CH412" s="128"/>
      <c r="CI412" s="128"/>
      <c r="CJ412" s="128"/>
      <c r="CK412" s="128"/>
      <c r="CL412" s="128"/>
      <c r="CM412" s="128"/>
      <c r="CN412" s="128"/>
      <c r="CO412" s="128"/>
      <c r="CP412" s="128"/>
      <c r="CQ412" s="128"/>
      <c r="CR412" s="128"/>
      <c r="CS412" s="128"/>
      <c r="CT412" s="128"/>
      <c r="CU412" s="128"/>
    </row>
    <row r="413" spans="2:99" ht="15" outlineLevel="1" thickTop="1" thickBot="1">
      <c r="B413" s="292"/>
      <c r="C413" s="293" t="s">
        <v>266</v>
      </c>
      <c r="D413" s="294"/>
      <c r="E413" s="294"/>
      <c r="F413" s="375"/>
      <c r="G413" s="341"/>
      <c r="H413" s="271"/>
      <c r="I413" s="271">
        <f>IFERROR(IF(I409&gt;0,$D$32*I409,0),"")</f>
        <v>0</v>
      </c>
      <c r="J413" s="271">
        <f ca="1">IFERROR(IF(J409&gt;0,$D$32*J409,0),"")</f>
        <v>0</v>
      </c>
      <c r="K413" s="271">
        <f t="shared" ref="K413:AG413" ca="1" si="156">IFERROR(IF(K409&gt;0,$D$32*K409,0),"")</f>
        <v>0</v>
      </c>
      <c r="L413" s="271">
        <f t="shared" ca="1" si="156"/>
        <v>0</v>
      </c>
      <c r="M413" s="271">
        <f t="shared" ca="1" si="156"/>
        <v>0</v>
      </c>
      <c r="N413" s="271">
        <f t="shared" ca="1" si="156"/>
        <v>0</v>
      </c>
      <c r="O413" s="271">
        <f t="shared" ca="1" si="156"/>
        <v>0</v>
      </c>
      <c r="P413" s="271">
        <f t="shared" ca="1" si="156"/>
        <v>0</v>
      </c>
      <c r="Q413" s="271">
        <f t="shared" ca="1" si="156"/>
        <v>0</v>
      </c>
      <c r="R413" s="271">
        <f t="shared" ca="1" si="156"/>
        <v>0</v>
      </c>
      <c r="S413" s="271">
        <f t="shared" ca="1" si="156"/>
        <v>0</v>
      </c>
      <c r="T413" s="271">
        <f t="shared" ca="1" si="156"/>
        <v>0</v>
      </c>
      <c r="U413" s="271">
        <f t="shared" ca="1" si="156"/>
        <v>0</v>
      </c>
      <c r="V413" s="271">
        <f t="shared" ca="1" si="156"/>
        <v>0</v>
      </c>
      <c r="W413" s="271">
        <f t="shared" ca="1" si="156"/>
        <v>0</v>
      </c>
      <c r="X413" s="271">
        <f t="shared" ca="1" si="156"/>
        <v>0</v>
      </c>
      <c r="Y413" s="271">
        <f t="shared" ca="1" si="156"/>
        <v>0</v>
      </c>
      <c r="Z413" s="271">
        <f t="shared" ca="1" si="156"/>
        <v>0</v>
      </c>
      <c r="AA413" s="271">
        <f t="shared" ca="1" si="156"/>
        <v>0</v>
      </c>
      <c r="AB413" s="271">
        <f t="shared" ca="1" si="156"/>
        <v>0</v>
      </c>
      <c r="AC413" s="271">
        <f t="shared" ca="1" si="156"/>
        <v>0</v>
      </c>
      <c r="AD413" s="271">
        <f t="shared" ca="1" si="156"/>
        <v>0</v>
      </c>
      <c r="AE413" s="271">
        <f t="shared" ca="1" si="156"/>
        <v>0</v>
      </c>
      <c r="AF413" s="271">
        <f t="shared" ca="1" si="156"/>
        <v>0</v>
      </c>
      <c r="AG413" s="271">
        <f t="shared" ca="1" si="156"/>
        <v>0</v>
      </c>
      <c r="AH413" s="128"/>
      <c r="AI413" s="128"/>
      <c r="AJ413" s="128"/>
      <c r="AK413" s="128"/>
      <c r="AL413" s="128"/>
      <c r="AM413" s="128"/>
      <c r="AN413" s="128"/>
      <c r="AO413" s="128"/>
      <c r="AP413" s="128"/>
      <c r="AQ413" s="128"/>
      <c r="AR413" s="128"/>
      <c r="AS413" s="128"/>
      <c r="AT413" s="128"/>
      <c r="AU413" s="128"/>
      <c r="AV413" s="128"/>
      <c r="AW413" s="128"/>
      <c r="AX413" s="128"/>
      <c r="AY413" s="128"/>
      <c r="AZ413" s="128"/>
      <c r="BA413" s="128"/>
      <c r="BB413" s="128"/>
      <c r="BC413" s="128"/>
      <c r="BD413" s="128"/>
      <c r="BE413" s="128"/>
      <c r="BF413" s="128"/>
      <c r="BG413" s="128"/>
      <c r="BH413" s="128"/>
      <c r="BI413" s="128"/>
      <c r="BJ413" s="128"/>
      <c r="BK413" s="128"/>
      <c r="BL413" s="128"/>
      <c r="BM413" s="128"/>
      <c r="BN413" s="128"/>
      <c r="BO413" s="128"/>
      <c r="BP413" s="128"/>
      <c r="BQ413" s="128"/>
      <c r="BR413" s="128"/>
      <c r="BS413" s="128"/>
      <c r="BT413" s="128"/>
      <c r="BU413" s="128"/>
      <c r="BV413" s="128"/>
      <c r="BW413" s="128"/>
      <c r="BX413" s="128"/>
      <c r="BY413" s="128"/>
      <c r="BZ413" s="128"/>
      <c r="CA413" s="128"/>
      <c r="CB413" s="128"/>
      <c r="CC413" s="128"/>
      <c r="CD413" s="128"/>
      <c r="CE413" s="128"/>
      <c r="CF413" s="128"/>
      <c r="CG413" s="128"/>
      <c r="CH413" s="128"/>
      <c r="CI413" s="128"/>
      <c r="CJ413" s="128"/>
      <c r="CK413" s="128"/>
      <c r="CL413" s="128"/>
      <c r="CM413" s="128"/>
      <c r="CN413" s="128"/>
      <c r="CO413" s="128"/>
      <c r="CP413" s="128"/>
      <c r="CQ413" s="128"/>
      <c r="CR413" s="128"/>
      <c r="CS413" s="128"/>
      <c r="CT413" s="128"/>
      <c r="CU413" s="128"/>
    </row>
    <row r="414" spans="2:99" ht="15" outlineLevel="1" thickTop="1" thickBot="1">
      <c r="B414" s="292"/>
      <c r="C414" s="293" t="s">
        <v>477</v>
      </c>
      <c r="D414" s="294"/>
      <c r="E414" s="294"/>
      <c r="F414" s="128"/>
      <c r="H414" s="158"/>
      <c r="I414" s="159">
        <f t="shared" ref="I414:AG414" si="157">SUM(I410:I413)</f>
        <v>0</v>
      </c>
      <c r="J414" s="159">
        <f t="shared" ca="1" si="157"/>
        <v>0</v>
      </c>
      <c r="K414" s="159">
        <f t="shared" ca="1" si="157"/>
        <v>0</v>
      </c>
      <c r="L414" s="159">
        <f t="shared" ca="1" si="157"/>
        <v>0</v>
      </c>
      <c r="M414" s="159">
        <f t="shared" ca="1" si="157"/>
        <v>0</v>
      </c>
      <c r="N414" s="159">
        <f t="shared" ca="1" si="157"/>
        <v>0</v>
      </c>
      <c r="O414" s="159">
        <f t="shared" ca="1" si="157"/>
        <v>0</v>
      </c>
      <c r="P414" s="159">
        <f t="shared" ca="1" si="157"/>
        <v>0</v>
      </c>
      <c r="Q414" s="159">
        <f t="shared" ca="1" si="157"/>
        <v>0</v>
      </c>
      <c r="R414" s="159">
        <f t="shared" ca="1" si="157"/>
        <v>0</v>
      </c>
      <c r="S414" s="159">
        <f t="shared" ca="1" si="157"/>
        <v>0</v>
      </c>
      <c r="T414" s="159">
        <f t="shared" ca="1" si="157"/>
        <v>0</v>
      </c>
      <c r="U414" s="159">
        <f t="shared" ca="1" si="157"/>
        <v>0</v>
      </c>
      <c r="V414" s="159">
        <f t="shared" ca="1" si="157"/>
        <v>0</v>
      </c>
      <c r="W414" s="159">
        <f t="shared" ca="1" si="157"/>
        <v>0</v>
      </c>
      <c r="X414" s="159">
        <f t="shared" ca="1" si="157"/>
        <v>0</v>
      </c>
      <c r="Y414" s="159">
        <f t="shared" ca="1" si="157"/>
        <v>0</v>
      </c>
      <c r="Z414" s="159">
        <f t="shared" ca="1" si="157"/>
        <v>0</v>
      </c>
      <c r="AA414" s="159">
        <f t="shared" ca="1" si="157"/>
        <v>0</v>
      </c>
      <c r="AB414" s="159">
        <f t="shared" ca="1" si="157"/>
        <v>0</v>
      </c>
      <c r="AC414" s="159">
        <f t="shared" ca="1" si="157"/>
        <v>0</v>
      </c>
      <c r="AD414" s="159">
        <f t="shared" ca="1" si="157"/>
        <v>0</v>
      </c>
      <c r="AE414" s="159">
        <f t="shared" ca="1" si="157"/>
        <v>0</v>
      </c>
      <c r="AF414" s="159">
        <f t="shared" ca="1" si="157"/>
        <v>0</v>
      </c>
      <c r="AG414" s="159">
        <f t="shared" ca="1" si="157"/>
        <v>0</v>
      </c>
      <c r="AH414" s="128"/>
      <c r="AI414" s="128"/>
      <c r="AJ414" s="128"/>
      <c r="AK414" s="128"/>
      <c r="AL414" s="128"/>
      <c r="AM414" s="128"/>
      <c r="AN414" s="128"/>
      <c r="AO414" s="128"/>
      <c r="AP414" s="128"/>
      <c r="AQ414" s="128"/>
      <c r="AR414" s="128"/>
      <c r="AS414" s="128"/>
      <c r="AT414" s="128"/>
      <c r="AU414" s="128"/>
      <c r="AV414" s="128"/>
      <c r="AW414" s="128"/>
      <c r="AX414" s="128"/>
      <c r="AY414" s="128"/>
      <c r="AZ414" s="128"/>
      <c r="BA414" s="128"/>
      <c r="BB414" s="128"/>
      <c r="BC414" s="128"/>
      <c r="BD414" s="128"/>
      <c r="BE414" s="128"/>
      <c r="BF414" s="128"/>
      <c r="BG414" s="128"/>
      <c r="BH414" s="128"/>
      <c r="BI414" s="128"/>
      <c r="BJ414" s="128"/>
      <c r="BK414" s="128"/>
      <c r="BL414" s="128"/>
      <c r="BM414" s="128"/>
      <c r="BN414" s="128"/>
      <c r="BO414" s="128"/>
      <c r="BP414" s="128"/>
      <c r="BQ414" s="128"/>
      <c r="BR414" s="128"/>
      <c r="BS414" s="128"/>
      <c r="BT414" s="128"/>
      <c r="BU414" s="128"/>
      <c r="BV414" s="128"/>
      <c r="BW414" s="128"/>
      <c r="BX414" s="128"/>
      <c r="BY414" s="128"/>
      <c r="BZ414" s="128"/>
      <c r="CA414" s="128"/>
      <c r="CB414" s="128"/>
      <c r="CC414" s="128"/>
      <c r="CD414" s="128"/>
      <c r="CE414" s="128"/>
      <c r="CF414" s="128"/>
      <c r="CG414" s="128"/>
      <c r="CH414" s="128"/>
      <c r="CI414" s="128"/>
      <c r="CJ414" s="128"/>
      <c r="CK414" s="128"/>
      <c r="CL414" s="128"/>
      <c r="CM414" s="128"/>
      <c r="CN414" s="128"/>
      <c r="CO414" s="128"/>
      <c r="CP414" s="128"/>
      <c r="CQ414" s="128"/>
      <c r="CR414" s="128"/>
      <c r="CS414" s="128"/>
      <c r="CT414" s="128"/>
      <c r="CU414" s="128"/>
    </row>
    <row r="415" spans="2:99" s="384" customFormat="1" ht="17.5" customHeight="1" thickTop="1" thickBot="1">
      <c r="B415" s="380"/>
      <c r="C415" s="381"/>
      <c r="D415" s="382"/>
      <c r="E415" s="382"/>
      <c r="F415" s="382"/>
      <c r="G415" s="382"/>
      <c r="H415" s="382"/>
      <c r="I415" s="383"/>
      <c r="J415" s="383"/>
      <c r="K415" s="383"/>
      <c r="L415" s="383"/>
      <c r="M415" s="383"/>
      <c r="N415" s="383"/>
      <c r="O415" s="383"/>
      <c r="P415" s="383"/>
      <c r="Q415" s="383"/>
      <c r="R415" s="383"/>
      <c r="S415" s="383"/>
      <c r="T415" s="383"/>
      <c r="U415" s="383"/>
      <c r="V415" s="383"/>
      <c r="W415" s="383"/>
      <c r="X415" s="383"/>
      <c r="Y415" s="383"/>
      <c r="Z415" s="383"/>
      <c r="AA415" s="383"/>
      <c r="AB415" s="383"/>
      <c r="AC415" s="383"/>
      <c r="AD415" s="383"/>
      <c r="AE415" s="383"/>
      <c r="AF415" s="383"/>
      <c r="AG415" s="383"/>
    </row>
    <row r="416" spans="2:99" s="389" customFormat="1" ht="17.5" customHeight="1" thickBot="1">
      <c r="B416" s="385"/>
      <c r="C416" s="386" t="s">
        <v>478</v>
      </c>
      <c r="D416" s="387"/>
      <c r="E416" s="387"/>
      <c r="F416" s="387"/>
      <c r="G416" s="387"/>
      <c r="H416" s="387"/>
      <c r="I416" s="388">
        <f t="shared" ref="I416:AG416" si="158">IF(I1&lt;=$D$18,IFERROR(I401-I414,""),0)</f>
        <v>-4222.5609970868081</v>
      </c>
      <c r="J416" s="388">
        <f t="shared" ca="1" si="158"/>
        <v>-3819.5856433562253</v>
      </c>
      <c r="K416" s="388">
        <f t="shared" ca="1" si="158"/>
        <v>-3348.3337963619388</v>
      </c>
      <c r="L416" s="388">
        <f t="shared" ca="1" si="158"/>
        <v>-2800.3870336168284</v>
      </c>
      <c r="M416" s="388">
        <f t="shared" ca="1" si="158"/>
        <v>-2166.3111781999437</v>
      </c>
      <c r="N416" s="388">
        <f t="shared" ca="1" si="158"/>
        <v>-1435.5343035714686</v>
      </c>
      <c r="O416" s="388">
        <f t="shared" ca="1" si="158"/>
        <v>-1633.221531969908</v>
      </c>
      <c r="P416" s="388">
        <f t="shared" ca="1" si="158"/>
        <v>-1833.529065974576</v>
      </c>
      <c r="Q416" s="388">
        <f t="shared" ca="1" si="158"/>
        <v>-2036.5173123313634</v>
      </c>
      <c r="R416" s="388">
        <f t="shared" ca="1" si="158"/>
        <v>-2242.2478379177992</v>
      </c>
      <c r="S416" s="388">
        <f t="shared" ca="1" si="158"/>
        <v>-2450.7833932326603</v>
      </c>
      <c r="T416" s="388">
        <f t="shared" ca="1" si="158"/>
        <v>-2662.1879363552125</v>
      </c>
      <c r="U416" s="388">
        <f t="shared" ca="1" si="158"/>
        <v>-2876.5266573814042</v>
      </c>
      <c r="V416" s="388">
        <f t="shared" ca="1" si="158"/>
        <v>-3093.8660033470587</v>
      </c>
      <c r="W416" s="388">
        <f t="shared" ca="1" si="158"/>
        <v>-3314.2737036478547</v>
      </c>
      <c r="X416" s="388">
        <f t="shared" ca="1" si="158"/>
        <v>-2821.0145533315585</v>
      </c>
      <c r="Y416" s="388">
        <f t="shared" ca="1" si="158"/>
        <v>-3047.7674100793288</v>
      </c>
      <c r="Z416" s="388">
        <f t="shared" ca="1" si="158"/>
        <v>-3277.7997653698189</v>
      </c>
      <c r="AA416" s="388">
        <f t="shared" ca="1" si="158"/>
        <v>-3511.1847425254359</v>
      </c>
      <c r="AB416" s="388">
        <f t="shared" ca="1" si="158"/>
        <v>-3747.9968821349271</v>
      </c>
      <c r="AC416" s="388">
        <f t="shared" ca="1" si="158"/>
        <v>-3988.3121706699062</v>
      </c>
      <c r="AD416" s="388">
        <f t="shared" ca="1" si="158"/>
        <v>-4232.2080696720814</v>
      </c>
      <c r="AE416" s="388">
        <f t="shared" ca="1" si="158"/>
        <v>-5482.9009608410652</v>
      </c>
      <c r="AF416" s="388">
        <f t="shared" ca="1" si="158"/>
        <v>-5728.1776906318109</v>
      </c>
      <c r="AG416" s="388">
        <f t="shared" ca="1" si="158"/>
        <v>-5977.3126795567796</v>
      </c>
      <c r="AH416" s="384"/>
      <c r="AI416" s="384"/>
      <c r="AJ416" s="384"/>
      <c r="AK416" s="384"/>
      <c r="AL416" s="384"/>
      <c r="AM416" s="384"/>
      <c r="AN416" s="384"/>
      <c r="AO416" s="384"/>
      <c r="AP416" s="384"/>
      <c r="AQ416" s="384"/>
      <c r="AR416" s="384"/>
      <c r="AS416" s="384"/>
      <c r="AT416" s="384"/>
      <c r="AU416" s="384"/>
      <c r="AV416" s="384"/>
      <c r="AW416" s="384"/>
      <c r="AX416" s="384"/>
      <c r="AY416" s="384"/>
      <c r="AZ416" s="384"/>
      <c r="BA416" s="384"/>
      <c r="BB416" s="384"/>
      <c r="BC416" s="384"/>
      <c r="BD416" s="384"/>
      <c r="BE416" s="384"/>
      <c r="BF416" s="384"/>
      <c r="BG416" s="384"/>
      <c r="BH416" s="384"/>
      <c r="BI416" s="384"/>
      <c r="BJ416" s="384"/>
      <c r="BK416" s="384"/>
      <c r="BL416" s="384"/>
      <c r="BM416" s="384"/>
      <c r="BN416" s="384"/>
      <c r="BO416" s="384"/>
      <c r="BP416" s="384"/>
      <c r="BQ416" s="384"/>
      <c r="BR416" s="384"/>
      <c r="BS416" s="384"/>
      <c r="BT416" s="384"/>
      <c r="BU416" s="384"/>
      <c r="BV416" s="384"/>
      <c r="BW416" s="384"/>
      <c r="BX416" s="384"/>
      <c r="BY416" s="384"/>
      <c r="BZ416" s="384"/>
      <c r="CA416" s="384"/>
      <c r="CB416" s="384"/>
      <c r="CC416" s="384"/>
      <c r="CD416" s="384"/>
      <c r="CE416" s="384"/>
      <c r="CF416" s="384"/>
      <c r="CG416" s="384"/>
      <c r="CH416" s="384"/>
      <c r="CI416" s="384"/>
      <c r="CJ416" s="384"/>
      <c r="CK416" s="384"/>
      <c r="CL416" s="384"/>
      <c r="CM416" s="384"/>
      <c r="CN416" s="384"/>
      <c r="CO416" s="384"/>
      <c r="CP416" s="384"/>
      <c r="CQ416" s="384"/>
      <c r="CR416" s="384"/>
      <c r="CS416" s="384"/>
      <c r="CT416" s="384"/>
      <c r="CU416" s="384"/>
    </row>
    <row r="417" spans="2:99" outlineLevel="1"/>
    <row r="418" spans="2:99" outlineLevel="1"/>
    <row r="419" spans="2:99" ht="23" outlineLevel="1">
      <c r="B419" s="129"/>
      <c r="C419" s="142" t="s">
        <v>479</v>
      </c>
      <c r="D419" s="143"/>
      <c r="E419" s="237"/>
      <c r="F419" s="237"/>
      <c r="G419" s="237"/>
      <c r="H419" s="237"/>
      <c r="I419" s="237"/>
      <c r="J419" s="237"/>
      <c r="K419" s="237"/>
      <c r="L419" s="237"/>
      <c r="M419" s="237"/>
      <c r="N419" s="237"/>
      <c r="O419" s="237"/>
      <c r="P419" s="237"/>
      <c r="Q419" s="237"/>
      <c r="R419" s="237"/>
      <c r="S419" s="237"/>
      <c r="T419" s="237"/>
      <c r="U419" s="237"/>
      <c r="V419" s="237"/>
      <c r="W419" s="237"/>
      <c r="X419" s="237"/>
      <c r="Y419" s="237"/>
      <c r="Z419" s="237"/>
      <c r="AA419" s="237"/>
      <c r="AB419" s="237"/>
      <c r="AC419" s="237"/>
      <c r="AD419" s="237"/>
      <c r="AE419" s="237"/>
      <c r="AF419" s="237"/>
      <c r="AG419" s="237"/>
      <c r="AH419" s="128"/>
      <c r="AI419" s="128"/>
      <c r="AJ419" s="128"/>
      <c r="AK419" s="128"/>
      <c r="AL419" s="128"/>
      <c r="AM419" s="128"/>
      <c r="AN419" s="128"/>
      <c r="AO419" s="128"/>
      <c r="AP419" s="128"/>
      <c r="AQ419" s="128"/>
      <c r="AR419" s="128"/>
      <c r="AS419" s="128"/>
      <c r="AT419" s="128"/>
      <c r="AU419" s="128"/>
      <c r="AV419" s="128"/>
      <c r="AW419" s="128"/>
      <c r="AX419" s="128"/>
      <c r="AY419" s="128"/>
      <c r="AZ419" s="128"/>
      <c r="BA419" s="128"/>
      <c r="BB419" s="128"/>
      <c r="BC419" s="128"/>
      <c r="BD419" s="128"/>
      <c r="BE419" s="128"/>
      <c r="BF419" s="128"/>
      <c r="BG419" s="128"/>
      <c r="BH419" s="128"/>
      <c r="BI419" s="128"/>
      <c r="BJ419" s="128"/>
      <c r="BK419" s="128"/>
      <c r="BL419" s="128"/>
      <c r="BM419" s="128"/>
      <c r="BN419" s="128"/>
      <c r="BO419" s="128"/>
      <c r="BP419" s="128"/>
      <c r="BQ419" s="128"/>
      <c r="BR419" s="128"/>
      <c r="BS419" s="128"/>
      <c r="BT419" s="128"/>
      <c r="BU419" s="128"/>
      <c r="BV419" s="128"/>
      <c r="BW419" s="128"/>
      <c r="BX419" s="128"/>
      <c r="BY419" s="128"/>
      <c r="BZ419" s="128"/>
      <c r="CA419" s="128"/>
      <c r="CB419" s="128"/>
      <c r="CC419" s="128"/>
      <c r="CD419" s="128"/>
      <c r="CE419" s="128"/>
      <c r="CF419" s="128"/>
      <c r="CG419" s="128"/>
      <c r="CH419" s="128"/>
      <c r="CI419" s="128"/>
      <c r="CJ419" s="128"/>
      <c r="CK419" s="128"/>
      <c r="CL419" s="128"/>
      <c r="CM419" s="128"/>
      <c r="CN419" s="128"/>
      <c r="CO419" s="128"/>
      <c r="CP419" s="128"/>
      <c r="CQ419" s="128"/>
      <c r="CR419" s="128"/>
      <c r="CS419" s="128"/>
      <c r="CT419" s="128"/>
      <c r="CU419" s="128"/>
    </row>
    <row r="420" spans="2:99" ht="14.5" outlineLevel="1" thickBot="1"/>
    <row r="421" spans="2:99" ht="14.5" outlineLevel="1" thickBot="1">
      <c r="B421" s="132"/>
      <c r="C421" s="132" t="s">
        <v>480</v>
      </c>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422">
        <f ca="1">AB416</f>
        <v>-3747.9968821349271</v>
      </c>
      <c r="AC421" s="133"/>
      <c r="AD421" s="133"/>
      <c r="AE421" s="133"/>
      <c r="AF421" s="133"/>
      <c r="AG421" s="147"/>
      <c r="AH421" s="128"/>
      <c r="AI421" s="128"/>
      <c r="AJ421" s="128"/>
      <c r="AK421" s="128"/>
      <c r="AL421" s="128"/>
      <c r="AM421" s="128"/>
      <c r="AN421" s="128"/>
      <c r="AO421" s="128"/>
      <c r="AP421" s="128"/>
      <c r="AQ421" s="128"/>
      <c r="AR421" s="128"/>
      <c r="AS421" s="128"/>
      <c r="AT421" s="128"/>
      <c r="AU421" s="128"/>
      <c r="AV421" s="128"/>
      <c r="AW421" s="128"/>
      <c r="AX421" s="128"/>
      <c r="AY421" s="128"/>
      <c r="AZ421" s="128"/>
      <c r="BA421" s="128"/>
      <c r="BB421" s="128"/>
      <c r="BC421" s="128"/>
      <c r="BD421" s="128"/>
      <c r="BE421" s="128"/>
      <c r="BF421" s="128"/>
      <c r="BG421" s="128"/>
      <c r="BH421" s="128"/>
      <c r="BI421" s="128"/>
      <c r="BJ421" s="128"/>
      <c r="BK421" s="128"/>
      <c r="BL421" s="128"/>
      <c r="BM421" s="128"/>
      <c r="BN421" s="128"/>
      <c r="BO421" s="128"/>
      <c r="BP421" s="128"/>
      <c r="BQ421" s="128"/>
      <c r="BR421" s="128"/>
      <c r="BS421" s="128"/>
      <c r="BT421" s="128"/>
      <c r="BU421" s="128"/>
      <c r="BV421" s="128"/>
      <c r="BW421" s="128"/>
      <c r="BX421" s="128"/>
      <c r="BY421" s="128"/>
      <c r="BZ421" s="128"/>
      <c r="CA421" s="128"/>
      <c r="CB421" s="128"/>
      <c r="CC421" s="128"/>
      <c r="CD421" s="128"/>
      <c r="CE421" s="128"/>
      <c r="CF421" s="128"/>
      <c r="CG421" s="128"/>
      <c r="CH421" s="128"/>
      <c r="CI421" s="128"/>
      <c r="CJ421" s="128"/>
      <c r="CK421" s="128"/>
      <c r="CL421" s="128"/>
      <c r="CM421" s="128"/>
      <c r="CN421" s="128"/>
      <c r="CO421" s="128"/>
      <c r="CP421" s="128"/>
      <c r="CQ421" s="128"/>
      <c r="CR421" s="128"/>
      <c r="CS421" s="128"/>
      <c r="CT421" s="128"/>
      <c r="CU421" s="128"/>
    </row>
    <row r="422" spans="2:99" ht="14.5" outlineLevel="1" thickBot="1">
      <c r="B422" s="186"/>
      <c r="C422" s="337" t="s">
        <v>478</v>
      </c>
      <c r="D422" s="338"/>
      <c r="E422" s="338"/>
      <c r="F422" s="346"/>
      <c r="G422" s="471">
        <f ca="1">SUM(I422:AG422)</f>
        <v>-81750.541319163778</v>
      </c>
      <c r="H422" s="150"/>
      <c r="I422" s="150">
        <f>I416</f>
        <v>-4222.5609970868081</v>
      </c>
      <c r="J422" s="150">
        <f t="shared" ref="J422:AG422" ca="1" si="159">J416</f>
        <v>-3819.5856433562253</v>
      </c>
      <c r="K422" s="150">
        <f t="shared" ca="1" si="159"/>
        <v>-3348.3337963619388</v>
      </c>
      <c r="L422" s="150">
        <f t="shared" ca="1" si="159"/>
        <v>-2800.3870336168284</v>
      </c>
      <c r="M422" s="150">
        <f t="shared" ca="1" si="159"/>
        <v>-2166.3111781999437</v>
      </c>
      <c r="N422" s="150">
        <f t="shared" ca="1" si="159"/>
        <v>-1435.5343035714686</v>
      </c>
      <c r="O422" s="150">
        <f t="shared" ca="1" si="159"/>
        <v>-1633.221531969908</v>
      </c>
      <c r="P422" s="150">
        <f t="shared" ca="1" si="159"/>
        <v>-1833.529065974576</v>
      </c>
      <c r="Q422" s="150">
        <f t="shared" ca="1" si="159"/>
        <v>-2036.5173123313634</v>
      </c>
      <c r="R422" s="150">
        <f t="shared" ca="1" si="159"/>
        <v>-2242.2478379177992</v>
      </c>
      <c r="S422" s="150">
        <f t="shared" ca="1" si="159"/>
        <v>-2450.7833932326603</v>
      </c>
      <c r="T422" s="150">
        <f t="shared" ca="1" si="159"/>
        <v>-2662.1879363552125</v>
      </c>
      <c r="U422" s="150">
        <f t="shared" ca="1" si="159"/>
        <v>-2876.5266573814042</v>
      </c>
      <c r="V422" s="150">
        <f t="shared" ca="1" si="159"/>
        <v>-3093.8660033470587</v>
      </c>
      <c r="W422" s="150">
        <f t="shared" ca="1" si="159"/>
        <v>-3314.2737036478547</v>
      </c>
      <c r="X422" s="150">
        <f t="shared" ca="1" si="159"/>
        <v>-2821.0145533315585</v>
      </c>
      <c r="Y422" s="150">
        <f t="shared" ca="1" si="159"/>
        <v>-3047.7674100793288</v>
      </c>
      <c r="Z422" s="150">
        <f t="shared" ca="1" si="159"/>
        <v>-3277.7997653698189</v>
      </c>
      <c r="AA422" s="150">
        <f t="shared" ca="1" si="159"/>
        <v>-3511.1847425254359</v>
      </c>
      <c r="AB422" s="150">
        <f t="shared" ca="1" si="159"/>
        <v>-3747.9968821349271</v>
      </c>
      <c r="AC422" s="150">
        <f t="shared" ca="1" si="159"/>
        <v>-3988.3121706699062</v>
      </c>
      <c r="AD422" s="150">
        <f t="shared" ca="1" si="159"/>
        <v>-4232.2080696720814</v>
      </c>
      <c r="AE422" s="150">
        <f t="shared" ca="1" si="159"/>
        <v>-5482.9009608410652</v>
      </c>
      <c r="AF422" s="150">
        <f t="shared" ca="1" si="159"/>
        <v>-5728.1776906318109</v>
      </c>
      <c r="AG422" s="150">
        <f t="shared" ca="1" si="159"/>
        <v>-5977.3126795567796</v>
      </c>
      <c r="AH422" s="128"/>
      <c r="AI422" s="128"/>
      <c r="AJ422" s="128"/>
      <c r="AK422" s="128"/>
      <c r="AL422" s="128"/>
      <c r="AM422" s="128"/>
      <c r="AN422" s="128"/>
      <c r="AO422" s="128"/>
      <c r="AP422" s="128"/>
      <c r="AQ422" s="128"/>
      <c r="AR422" s="128"/>
      <c r="AS422" s="128"/>
      <c r="AT422" s="128"/>
      <c r="AU422" s="128"/>
      <c r="AV422" s="128"/>
      <c r="AW422" s="128"/>
      <c r="AX422" s="128"/>
      <c r="AY422" s="128"/>
      <c r="AZ422" s="128"/>
      <c r="BA422" s="128"/>
      <c r="BB422" s="128"/>
      <c r="BC422" s="128"/>
      <c r="BD422" s="128"/>
      <c r="BE422" s="128"/>
      <c r="BF422" s="128"/>
      <c r="BG422" s="128"/>
      <c r="BH422" s="128"/>
      <c r="BI422" s="128"/>
      <c r="BJ422" s="128"/>
      <c r="BK422" s="128"/>
      <c r="BL422" s="128"/>
      <c r="BM422" s="128"/>
      <c r="BN422" s="128"/>
      <c r="BO422" s="128"/>
      <c r="BP422" s="128"/>
      <c r="BQ422" s="128"/>
      <c r="BR422" s="128"/>
      <c r="BS422" s="128"/>
      <c r="BT422" s="128"/>
      <c r="BU422" s="128"/>
      <c r="BV422" s="128"/>
      <c r="BW422" s="128"/>
      <c r="BX422" s="128"/>
      <c r="BY422" s="128"/>
      <c r="BZ422" s="128"/>
      <c r="CA422" s="128"/>
      <c r="CB422" s="128"/>
      <c r="CC422" s="128"/>
      <c r="CD422" s="128"/>
      <c r="CE422" s="128"/>
      <c r="CF422" s="128"/>
      <c r="CG422" s="128"/>
      <c r="CH422" s="128"/>
      <c r="CI422" s="128"/>
      <c r="CJ422" s="128"/>
      <c r="CK422" s="128"/>
      <c r="CL422" s="128"/>
      <c r="CM422" s="128"/>
      <c r="CN422" s="128"/>
      <c r="CO422" s="128"/>
      <c r="CP422" s="128"/>
      <c r="CQ422" s="128"/>
      <c r="CR422" s="128"/>
      <c r="CS422" s="128"/>
      <c r="CT422" s="128"/>
      <c r="CU422" s="128"/>
    </row>
    <row r="423" spans="2:99" ht="14.5" outlineLevel="1" thickBot="1">
      <c r="B423" s="186"/>
      <c r="C423" s="337" t="s">
        <v>455</v>
      </c>
      <c r="D423" s="338"/>
      <c r="E423" s="338"/>
      <c r="F423" s="346"/>
      <c r="G423" s="346"/>
      <c r="H423" s="150"/>
      <c r="I423" s="150">
        <f t="shared" ref="I423:AG423" si="160">I309</f>
        <v>2663.1642271062269</v>
      </c>
      <c r="J423" s="150">
        <f t="shared" si="160"/>
        <v>2663.1642271062269</v>
      </c>
      <c r="K423" s="150">
        <f t="shared" si="160"/>
        <v>2663.1642271062269</v>
      </c>
      <c r="L423" s="150">
        <f t="shared" si="160"/>
        <v>2663.1642271062269</v>
      </c>
      <c r="M423" s="150">
        <f t="shared" si="160"/>
        <v>2663.1642271062269</v>
      </c>
      <c r="N423" s="150">
        <f t="shared" si="160"/>
        <v>2663.1642271062269</v>
      </c>
      <c r="O423" s="150">
        <f t="shared" si="160"/>
        <v>2663.1642271062269</v>
      </c>
      <c r="P423" s="150">
        <f t="shared" si="160"/>
        <v>2663.1642271062269</v>
      </c>
      <c r="Q423" s="150">
        <f t="shared" si="160"/>
        <v>2663.1642271062269</v>
      </c>
      <c r="R423" s="150">
        <f t="shared" si="160"/>
        <v>2663.1642271062269</v>
      </c>
      <c r="S423" s="150">
        <f t="shared" si="160"/>
        <v>2663.1642271062269</v>
      </c>
      <c r="T423" s="150">
        <f t="shared" si="160"/>
        <v>2663.1642271062269</v>
      </c>
      <c r="U423" s="150">
        <f t="shared" si="160"/>
        <v>2663.1642271062269</v>
      </c>
      <c r="V423" s="150">
        <f t="shared" si="160"/>
        <v>2663.1642271062269</v>
      </c>
      <c r="W423" s="150">
        <f t="shared" si="160"/>
        <v>2663.1642271062269</v>
      </c>
      <c r="X423" s="150">
        <f t="shared" si="160"/>
        <v>1946.359984574269</v>
      </c>
      <c r="Y423" s="150">
        <f t="shared" si="160"/>
        <v>1946.359984574269</v>
      </c>
      <c r="Z423" s="150">
        <f t="shared" si="160"/>
        <v>1946.359984574269</v>
      </c>
      <c r="AA423" s="150">
        <f t="shared" si="160"/>
        <v>1946.359984574269</v>
      </c>
      <c r="AB423" s="150">
        <f t="shared" si="160"/>
        <v>1946.359984574269</v>
      </c>
      <c r="AC423" s="150">
        <f t="shared" si="160"/>
        <v>1946.359984574269</v>
      </c>
      <c r="AD423" s="150">
        <f t="shared" si="160"/>
        <v>1946.359984574269</v>
      </c>
      <c r="AE423" s="150">
        <f t="shared" si="160"/>
        <v>1946.359984574269</v>
      </c>
      <c r="AF423" s="150">
        <f t="shared" si="160"/>
        <v>1946.359984574269</v>
      </c>
      <c r="AG423" s="150">
        <f t="shared" si="160"/>
        <v>1946.359984574269</v>
      </c>
      <c r="AH423" s="128"/>
      <c r="AI423" s="128"/>
      <c r="AJ423" s="128"/>
      <c r="AK423" s="128"/>
      <c r="AL423" s="128"/>
      <c r="AM423" s="128"/>
      <c r="AN423" s="128"/>
      <c r="AO423" s="128"/>
      <c r="AP423" s="128"/>
      <c r="AQ423" s="128"/>
      <c r="AR423" s="128"/>
      <c r="AS423" s="128"/>
      <c r="AT423" s="128"/>
      <c r="AU423" s="128"/>
      <c r="AV423" s="128"/>
      <c r="AW423" s="128"/>
      <c r="AX423" s="128"/>
      <c r="AY423" s="128"/>
      <c r="AZ423" s="128"/>
      <c r="BA423" s="128"/>
      <c r="BB423" s="128"/>
      <c r="BC423" s="128"/>
      <c r="BD423" s="128"/>
      <c r="BE423" s="128"/>
      <c r="BF423" s="128"/>
      <c r="BG423" s="128"/>
      <c r="BH423" s="128"/>
      <c r="BI423" s="128"/>
      <c r="BJ423" s="128"/>
      <c r="BK423" s="128"/>
      <c r="BL423" s="128"/>
      <c r="BM423" s="128"/>
      <c r="BN423" s="128"/>
      <c r="BO423" s="128"/>
      <c r="BP423" s="128"/>
      <c r="BQ423" s="128"/>
      <c r="BR423" s="128"/>
      <c r="BS423" s="128"/>
      <c r="BT423" s="128"/>
      <c r="BU423" s="128"/>
      <c r="BV423" s="128"/>
      <c r="BW423" s="128"/>
      <c r="BX423" s="128"/>
      <c r="BY423" s="128"/>
      <c r="BZ423" s="128"/>
      <c r="CA423" s="128"/>
      <c r="CB423" s="128"/>
      <c r="CC423" s="128"/>
      <c r="CD423" s="128"/>
      <c r="CE423" s="128"/>
      <c r="CF423" s="128"/>
      <c r="CG423" s="128"/>
      <c r="CH423" s="128"/>
      <c r="CI423" s="128"/>
      <c r="CJ423" s="128"/>
      <c r="CK423" s="128"/>
      <c r="CL423" s="128"/>
      <c r="CM423" s="128"/>
      <c r="CN423" s="128"/>
      <c r="CO423" s="128"/>
      <c r="CP423" s="128"/>
      <c r="CQ423" s="128"/>
      <c r="CR423" s="128"/>
      <c r="CS423" s="128"/>
      <c r="CT423" s="128"/>
      <c r="CU423" s="128"/>
    </row>
    <row r="424" spans="2:99" ht="15" outlineLevel="1" thickTop="1" thickBot="1">
      <c r="B424" s="292"/>
      <c r="C424" s="293" t="s">
        <v>481</v>
      </c>
      <c r="D424" s="294"/>
      <c r="E424" s="294"/>
      <c r="F424" s="375"/>
      <c r="G424" s="341"/>
      <c r="H424" s="271">
        <f t="shared" ref="H424:AG424" si="161">SUM(H422:H423)</f>
        <v>0</v>
      </c>
      <c r="I424" s="271">
        <f t="shared" si="161"/>
        <v>-1559.3967699805812</v>
      </c>
      <c r="J424" s="271">
        <f t="shared" ref="J424:AB424" ca="1" si="162">SUM(J422:J423)</f>
        <v>-1156.4214162499984</v>
      </c>
      <c r="K424" s="271">
        <f t="shared" ca="1" si="162"/>
        <v>-685.16956925571185</v>
      </c>
      <c r="L424" s="271">
        <f t="shared" ca="1" si="162"/>
        <v>-137.22280651060146</v>
      </c>
      <c r="M424" s="271">
        <f t="shared" ca="1" si="162"/>
        <v>496.85304890628322</v>
      </c>
      <c r="N424" s="271">
        <f t="shared" ca="1" si="162"/>
        <v>1227.6299235347583</v>
      </c>
      <c r="O424" s="271">
        <f t="shared" ca="1" si="162"/>
        <v>1029.9426951363189</v>
      </c>
      <c r="P424" s="271">
        <f t="shared" ca="1" si="162"/>
        <v>829.63516113165088</v>
      </c>
      <c r="Q424" s="271">
        <f t="shared" ca="1" si="162"/>
        <v>626.64691477486349</v>
      </c>
      <c r="R424" s="271">
        <f t="shared" ca="1" si="162"/>
        <v>420.91638918842773</v>
      </c>
      <c r="S424" s="271">
        <f t="shared" ca="1" si="162"/>
        <v>212.38083387356664</v>
      </c>
      <c r="T424" s="271">
        <f t="shared" ca="1" si="162"/>
        <v>0.97629075101440321</v>
      </c>
      <c r="U424" s="271">
        <f t="shared" ca="1" si="162"/>
        <v>-213.3624302751773</v>
      </c>
      <c r="V424" s="271">
        <f t="shared" ca="1" si="162"/>
        <v>-430.7017762408318</v>
      </c>
      <c r="W424" s="271">
        <f t="shared" ca="1" si="162"/>
        <v>-651.10947654162783</v>
      </c>
      <c r="X424" s="271">
        <f t="shared" ca="1" si="162"/>
        <v>-874.65456875728955</v>
      </c>
      <c r="Y424" s="271">
        <f t="shared" ca="1" si="162"/>
        <v>-1101.4074255050598</v>
      </c>
      <c r="Z424" s="271">
        <f t="shared" ca="1" si="162"/>
        <v>-1331.43978079555</v>
      </c>
      <c r="AA424" s="271">
        <f t="shared" ca="1" si="162"/>
        <v>-1564.8247579511669</v>
      </c>
      <c r="AB424" s="271">
        <f t="shared" ca="1" si="162"/>
        <v>-1801.6368975606581</v>
      </c>
      <c r="AC424" s="271">
        <f t="shared" ca="1" si="161"/>
        <v>-2041.9521860956372</v>
      </c>
      <c r="AD424" s="271">
        <f t="shared" ca="1" si="161"/>
        <v>-2285.8480850978121</v>
      </c>
      <c r="AE424" s="271">
        <f t="shared" ca="1" si="161"/>
        <v>-3536.540976266796</v>
      </c>
      <c r="AF424" s="271">
        <f t="shared" ca="1" si="161"/>
        <v>-3781.8177060575417</v>
      </c>
      <c r="AG424" s="271">
        <f t="shared" ca="1" si="161"/>
        <v>-4030.9526949825104</v>
      </c>
      <c r="AH424" s="128"/>
      <c r="AI424" s="128"/>
      <c r="AJ424" s="128"/>
      <c r="AK424" s="128"/>
      <c r="AL424" s="128"/>
      <c r="AM424" s="128"/>
      <c r="AN424" s="128"/>
      <c r="AO424" s="128"/>
      <c r="AP424" s="128"/>
      <c r="AQ424" s="128"/>
      <c r="AR424" s="128"/>
      <c r="AS424" s="128"/>
      <c r="AT424" s="128"/>
      <c r="AU424" s="128"/>
      <c r="AV424" s="128"/>
      <c r="AW424" s="128"/>
      <c r="AX424" s="128"/>
      <c r="AY424" s="128"/>
      <c r="AZ424" s="128"/>
      <c r="BA424" s="128"/>
      <c r="BB424" s="128"/>
      <c r="BC424" s="128"/>
      <c r="BD424" s="128"/>
      <c r="BE424" s="128"/>
      <c r="BF424" s="128"/>
      <c r="BG424" s="128"/>
      <c r="BH424" s="128"/>
      <c r="BI424" s="128"/>
      <c r="BJ424" s="128"/>
      <c r="BK424" s="128"/>
      <c r="BL424" s="128"/>
      <c r="BM424" s="128"/>
      <c r="BN424" s="128"/>
      <c r="BO424" s="128"/>
      <c r="BP424" s="128"/>
      <c r="BQ424" s="128"/>
      <c r="BR424" s="128"/>
      <c r="BS424" s="128"/>
      <c r="BT424" s="128"/>
      <c r="BU424" s="128"/>
      <c r="BV424" s="128"/>
      <c r="BW424" s="128"/>
      <c r="BX424" s="128"/>
      <c r="BY424" s="128"/>
      <c r="BZ424" s="128"/>
      <c r="CA424" s="128"/>
      <c r="CB424" s="128"/>
      <c r="CC424" s="128"/>
      <c r="CD424" s="128"/>
      <c r="CE424" s="128"/>
      <c r="CF424" s="128"/>
      <c r="CG424" s="128"/>
      <c r="CH424" s="128"/>
      <c r="CI424" s="128"/>
      <c r="CJ424" s="128"/>
      <c r="CK424" s="128"/>
      <c r="CL424" s="128"/>
      <c r="CM424" s="128"/>
      <c r="CN424" s="128"/>
      <c r="CO424" s="128"/>
      <c r="CP424" s="128"/>
      <c r="CQ424" s="128"/>
      <c r="CR424" s="128"/>
      <c r="CS424" s="128"/>
      <c r="CT424" s="128"/>
      <c r="CU424" s="128"/>
    </row>
    <row r="425" spans="2:99" ht="15" outlineLevel="1" thickTop="1" thickBot="1">
      <c r="F425" s="128"/>
      <c r="AH425" s="128"/>
      <c r="AI425" s="128"/>
      <c r="AJ425" s="128"/>
      <c r="AK425" s="128"/>
      <c r="AL425" s="128"/>
      <c r="AM425" s="128"/>
      <c r="AN425" s="128"/>
      <c r="AO425" s="128"/>
      <c r="AP425" s="128"/>
      <c r="AQ425" s="128"/>
      <c r="AR425" s="128"/>
      <c r="AS425" s="128"/>
      <c r="AT425" s="128"/>
      <c r="AU425" s="128"/>
      <c r="AV425" s="128"/>
      <c r="AW425" s="128"/>
      <c r="AX425" s="128"/>
      <c r="AY425" s="128"/>
      <c r="AZ425" s="128"/>
      <c r="BA425" s="128"/>
      <c r="BB425" s="128"/>
      <c r="BC425" s="128"/>
      <c r="BD425" s="128"/>
      <c r="BE425" s="128"/>
      <c r="BF425" s="128"/>
      <c r="BG425" s="128"/>
      <c r="BH425" s="128"/>
      <c r="BI425" s="128"/>
      <c r="BJ425" s="128"/>
      <c r="BK425" s="128"/>
      <c r="BL425" s="128"/>
      <c r="BM425" s="128"/>
      <c r="BN425" s="128"/>
      <c r="BO425" s="128"/>
      <c r="BP425" s="128"/>
      <c r="BQ425" s="128"/>
      <c r="BR425" s="128"/>
      <c r="BS425" s="128"/>
      <c r="BT425" s="128"/>
      <c r="BU425" s="128"/>
      <c r="BV425" s="128"/>
      <c r="BW425" s="128"/>
      <c r="BX425" s="128"/>
      <c r="BY425" s="128"/>
      <c r="BZ425" s="128"/>
      <c r="CA425" s="128"/>
      <c r="CB425" s="128"/>
      <c r="CC425" s="128"/>
      <c r="CD425" s="128"/>
      <c r="CE425" s="128"/>
      <c r="CF425" s="128"/>
      <c r="CG425" s="128"/>
      <c r="CH425" s="128"/>
      <c r="CI425" s="128"/>
      <c r="CJ425" s="128"/>
      <c r="CK425" s="128"/>
      <c r="CL425" s="128"/>
      <c r="CM425" s="128"/>
      <c r="CN425" s="128"/>
      <c r="CO425" s="128"/>
      <c r="CP425" s="128"/>
      <c r="CQ425" s="128"/>
      <c r="CR425" s="128"/>
      <c r="CS425" s="128"/>
      <c r="CT425" s="128"/>
      <c r="CU425" s="128"/>
    </row>
    <row r="426" spans="2:99" ht="14.5" outlineLevel="1" thickBot="1">
      <c r="B426" s="132"/>
      <c r="C426" s="132" t="s">
        <v>482</v>
      </c>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c r="AD426" s="133"/>
      <c r="AE426" s="133"/>
      <c r="AF426" s="133"/>
      <c r="AG426" s="147"/>
      <c r="AH426" s="128"/>
      <c r="AI426" s="128"/>
      <c r="AJ426" s="128"/>
      <c r="AK426" s="128"/>
      <c r="AL426" s="128"/>
      <c r="AM426" s="128"/>
      <c r="AN426" s="128"/>
      <c r="AO426" s="128"/>
      <c r="AP426" s="128"/>
      <c r="AQ426" s="128"/>
      <c r="AR426" s="128"/>
      <c r="AS426" s="128"/>
      <c r="AT426" s="128"/>
      <c r="AU426" s="128"/>
      <c r="AV426" s="128"/>
      <c r="AW426" s="128"/>
      <c r="AX426" s="128"/>
      <c r="AY426" s="128"/>
      <c r="AZ426" s="128"/>
      <c r="BA426" s="128"/>
      <c r="BB426" s="128"/>
      <c r="BC426" s="128"/>
      <c r="BD426" s="128"/>
      <c r="BE426" s="128"/>
      <c r="BF426" s="128"/>
      <c r="BG426" s="128"/>
      <c r="BH426" s="128"/>
      <c r="BI426" s="128"/>
      <c r="BJ426" s="128"/>
      <c r="BK426" s="128"/>
      <c r="BL426" s="128"/>
      <c r="BM426" s="128"/>
      <c r="BN426" s="128"/>
      <c r="BO426" s="128"/>
      <c r="BP426" s="128"/>
      <c r="BQ426" s="128"/>
      <c r="BR426" s="128"/>
      <c r="BS426" s="128"/>
      <c r="BT426" s="128"/>
      <c r="BU426" s="128"/>
      <c r="BV426" s="128"/>
      <c r="BW426" s="128"/>
      <c r="BX426" s="128"/>
      <c r="BY426" s="128"/>
      <c r="BZ426" s="128"/>
      <c r="CA426" s="128"/>
      <c r="CB426" s="128"/>
      <c r="CC426" s="128"/>
      <c r="CD426" s="128"/>
      <c r="CE426" s="128"/>
      <c r="CF426" s="128"/>
      <c r="CG426" s="128"/>
      <c r="CH426" s="128"/>
      <c r="CI426" s="128"/>
      <c r="CJ426" s="128"/>
      <c r="CK426" s="128"/>
      <c r="CL426" s="128"/>
      <c r="CM426" s="128"/>
      <c r="CN426" s="128"/>
      <c r="CO426" s="128"/>
      <c r="CP426" s="128"/>
      <c r="CQ426" s="128"/>
      <c r="CR426" s="128"/>
      <c r="CS426" s="128"/>
      <c r="CT426" s="128"/>
      <c r="CU426" s="128"/>
    </row>
    <row r="427" spans="2:99" ht="15" outlineLevel="1" thickTop="1" thickBot="1">
      <c r="B427" s="292"/>
      <c r="C427" s="293" t="s">
        <v>483</v>
      </c>
      <c r="D427" s="294"/>
      <c r="E427" s="294"/>
      <c r="F427" s="341"/>
      <c r="G427" s="341"/>
      <c r="H427" s="271">
        <f t="shared" ref="H427:AG427" si="163">H253</f>
        <v>0</v>
      </c>
      <c r="I427" s="271">
        <f t="shared" si="163"/>
        <v>1869.0970714285713</v>
      </c>
      <c r="J427" s="271">
        <f t="shared" ca="1" si="163"/>
        <v>1574.8830024432004</v>
      </c>
      <c r="K427" s="271">
        <f t="shared" ca="1" si="163"/>
        <v>1245.363245179585</v>
      </c>
      <c r="L427" s="271">
        <f t="shared" ca="1" si="163"/>
        <v>876.30111704433568</v>
      </c>
      <c r="M427" s="271">
        <f t="shared" ca="1" si="163"/>
        <v>462.9515335328565</v>
      </c>
      <c r="N427" s="271">
        <f t="shared" si="163"/>
        <v>0</v>
      </c>
      <c r="O427" s="271">
        <f t="shared" si="163"/>
        <v>0</v>
      </c>
      <c r="P427" s="271">
        <f t="shared" si="163"/>
        <v>0</v>
      </c>
      <c r="Q427" s="271">
        <f t="shared" si="163"/>
        <v>0</v>
      </c>
      <c r="R427" s="271">
        <f t="shared" si="163"/>
        <v>0</v>
      </c>
      <c r="S427" s="271">
        <f t="shared" si="163"/>
        <v>0</v>
      </c>
      <c r="T427" s="271">
        <f t="shared" si="163"/>
        <v>0</v>
      </c>
      <c r="U427" s="271">
        <f t="shared" si="163"/>
        <v>0</v>
      </c>
      <c r="V427" s="271">
        <f t="shared" si="163"/>
        <v>0</v>
      </c>
      <c r="W427" s="271">
        <f t="shared" si="163"/>
        <v>0</v>
      </c>
      <c r="X427" s="271">
        <f t="shared" si="163"/>
        <v>0</v>
      </c>
      <c r="Y427" s="271">
        <f t="shared" si="163"/>
        <v>0</v>
      </c>
      <c r="Z427" s="271">
        <f t="shared" si="163"/>
        <v>0</v>
      </c>
      <c r="AA427" s="271">
        <f t="shared" si="163"/>
        <v>0</v>
      </c>
      <c r="AB427" s="271">
        <f t="shared" si="163"/>
        <v>0</v>
      </c>
      <c r="AC427" s="271">
        <f t="shared" si="163"/>
        <v>0</v>
      </c>
      <c r="AD427" s="271">
        <f t="shared" si="163"/>
        <v>0</v>
      </c>
      <c r="AE427" s="271">
        <f t="shared" si="163"/>
        <v>0</v>
      </c>
      <c r="AF427" s="271">
        <f t="shared" si="163"/>
        <v>0</v>
      </c>
      <c r="AG427" s="271">
        <f t="shared" si="163"/>
        <v>0</v>
      </c>
      <c r="AH427" s="128"/>
      <c r="AI427" s="128"/>
      <c r="AJ427" s="128"/>
      <c r="AK427" s="128"/>
      <c r="AL427" s="128"/>
      <c r="AM427" s="128"/>
      <c r="AN427" s="128"/>
      <c r="AO427" s="128"/>
      <c r="AP427" s="128"/>
      <c r="AQ427" s="128"/>
      <c r="AR427" s="128"/>
      <c r="AS427" s="128"/>
      <c r="AT427" s="128"/>
      <c r="AU427" s="128"/>
      <c r="AV427" s="128"/>
      <c r="AW427" s="128"/>
      <c r="AX427" s="128"/>
      <c r="AY427" s="128"/>
      <c r="AZ427" s="128"/>
      <c r="BA427" s="128"/>
      <c r="BB427" s="128"/>
      <c r="BC427" s="128"/>
      <c r="BD427" s="128"/>
      <c r="BE427" s="128"/>
      <c r="BF427" s="128"/>
      <c r="BG427" s="128"/>
      <c r="BH427" s="128"/>
      <c r="BI427" s="128"/>
      <c r="BJ427" s="128"/>
      <c r="BK427" s="128"/>
      <c r="BL427" s="128"/>
      <c r="BM427" s="128"/>
      <c r="BN427" s="128"/>
      <c r="BO427" s="128"/>
      <c r="BP427" s="128"/>
      <c r="BQ427" s="128"/>
      <c r="BR427" s="128"/>
      <c r="BS427" s="128"/>
      <c r="BT427" s="128"/>
      <c r="BU427" s="128"/>
      <c r="BV427" s="128"/>
      <c r="BW427" s="128"/>
      <c r="BX427" s="128"/>
      <c r="BY427" s="128"/>
      <c r="BZ427" s="128"/>
      <c r="CA427" s="128"/>
      <c r="CB427" s="128"/>
      <c r="CC427" s="128"/>
      <c r="CD427" s="128"/>
      <c r="CE427" s="128"/>
      <c r="CF427" s="128"/>
      <c r="CG427" s="128"/>
      <c r="CH427" s="128"/>
      <c r="CI427" s="128"/>
      <c r="CJ427" s="128"/>
      <c r="CK427" s="128"/>
      <c r="CL427" s="128"/>
      <c r="CM427" s="128"/>
      <c r="CN427" s="128"/>
      <c r="CO427" s="128"/>
      <c r="CP427" s="128"/>
      <c r="CQ427" s="128"/>
      <c r="CR427" s="128"/>
      <c r="CS427" s="128"/>
      <c r="CT427" s="128"/>
      <c r="CU427" s="128"/>
    </row>
    <row r="428" spans="2:99" ht="15" outlineLevel="1" thickTop="1" thickBot="1">
      <c r="F428" s="128"/>
      <c r="H428" s="340"/>
      <c r="I428" s="340"/>
      <c r="J428" s="340"/>
      <c r="K428" s="340"/>
      <c r="L428" s="340"/>
      <c r="M428" s="340"/>
      <c r="N428" s="340"/>
      <c r="O428" s="340"/>
      <c r="P428" s="340"/>
      <c r="Q428" s="340"/>
      <c r="R428" s="340"/>
      <c r="S428" s="340"/>
      <c r="T428" s="340"/>
      <c r="U428" s="340"/>
      <c r="V428" s="340"/>
      <c r="W428" s="340"/>
      <c r="X428" s="340"/>
      <c r="Y428" s="340"/>
      <c r="Z428" s="340"/>
      <c r="AA428" s="340"/>
      <c r="AB428" s="340"/>
      <c r="AC428" s="340"/>
      <c r="AD428" s="340"/>
      <c r="AE428" s="340"/>
      <c r="AF428" s="340"/>
      <c r="AG428" s="340"/>
      <c r="AH428" s="128"/>
      <c r="AI428" s="128"/>
      <c r="AJ428" s="128"/>
      <c r="AK428" s="128"/>
      <c r="AL428" s="128"/>
      <c r="AM428" s="128"/>
      <c r="AN428" s="128"/>
      <c r="AO428" s="128"/>
      <c r="AP428" s="128"/>
      <c r="AQ428" s="128"/>
      <c r="AR428" s="128"/>
      <c r="AS428" s="128"/>
      <c r="AT428" s="128"/>
      <c r="AU428" s="128"/>
      <c r="AV428" s="128"/>
      <c r="AW428" s="128"/>
      <c r="AX428" s="128"/>
      <c r="AY428" s="128"/>
      <c r="AZ428" s="128"/>
      <c r="BA428" s="128"/>
      <c r="BB428" s="128"/>
      <c r="BC428" s="128"/>
      <c r="BD428" s="128"/>
      <c r="BE428" s="128"/>
      <c r="BF428" s="128"/>
      <c r="BG428" s="128"/>
      <c r="BH428" s="128"/>
      <c r="BI428" s="128"/>
      <c r="BJ428" s="128"/>
      <c r="BK428" s="128"/>
      <c r="BL428" s="128"/>
      <c r="BM428" s="128"/>
      <c r="BN428" s="128"/>
      <c r="BO428" s="128"/>
      <c r="BP428" s="128"/>
      <c r="BQ428" s="128"/>
      <c r="BR428" s="128"/>
      <c r="BS428" s="128"/>
      <c r="BT428" s="128"/>
      <c r="BU428" s="128"/>
      <c r="BV428" s="128"/>
      <c r="BW428" s="128"/>
      <c r="BX428" s="128"/>
      <c r="BY428" s="128"/>
      <c r="BZ428" s="128"/>
      <c r="CA428" s="128"/>
      <c r="CB428" s="128"/>
      <c r="CC428" s="128"/>
      <c r="CD428" s="128"/>
      <c r="CE428" s="128"/>
      <c r="CF428" s="128"/>
      <c r="CG428" s="128"/>
      <c r="CH428" s="128"/>
      <c r="CI428" s="128"/>
      <c r="CJ428" s="128"/>
      <c r="CK428" s="128"/>
      <c r="CL428" s="128"/>
      <c r="CM428" s="128"/>
      <c r="CN428" s="128"/>
      <c r="CO428" s="128"/>
      <c r="CP428" s="128"/>
      <c r="CQ428" s="128"/>
      <c r="CR428" s="128"/>
      <c r="CS428" s="128"/>
      <c r="CT428" s="128"/>
      <c r="CU428" s="128"/>
    </row>
    <row r="429" spans="2:99" ht="14.5" outlineLevel="1" thickBot="1">
      <c r="B429" s="132"/>
      <c r="C429" s="132" t="s">
        <v>484</v>
      </c>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f ca="1">AB421</f>
        <v>-3747.9968821349271</v>
      </c>
      <c r="AC429" s="133"/>
      <c r="AD429" s="133"/>
      <c r="AE429" s="133"/>
      <c r="AF429" s="133"/>
      <c r="AG429" s="147"/>
      <c r="AH429" s="128"/>
      <c r="AI429" s="128"/>
      <c r="AJ429" s="128"/>
      <c r="AK429" s="128"/>
      <c r="AL429" s="128"/>
      <c r="AM429" s="128"/>
      <c r="AN429" s="128"/>
      <c r="AO429" s="128"/>
      <c r="AP429" s="128"/>
      <c r="AQ429" s="128"/>
      <c r="AR429" s="128"/>
      <c r="AS429" s="128"/>
      <c r="AT429" s="128"/>
      <c r="AU429" s="128"/>
      <c r="AV429" s="128"/>
      <c r="AW429" s="128"/>
      <c r="AX429" s="128"/>
      <c r="AY429" s="128"/>
      <c r="AZ429" s="128"/>
      <c r="BA429" s="128"/>
      <c r="BB429" s="128"/>
      <c r="BC429" s="128"/>
      <c r="BD429" s="128"/>
      <c r="BE429" s="128"/>
      <c r="BF429" s="128"/>
      <c r="BG429" s="128"/>
      <c r="BH429" s="128"/>
      <c r="BI429" s="128"/>
      <c r="BJ429" s="128"/>
      <c r="BK429" s="128"/>
      <c r="BL429" s="128"/>
      <c r="BM429" s="128"/>
      <c r="BN429" s="128"/>
      <c r="BO429" s="128"/>
      <c r="BP429" s="128"/>
      <c r="BQ429" s="128"/>
      <c r="BR429" s="128"/>
      <c r="BS429" s="128"/>
      <c r="BT429" s="128"/>
      <c r="BU429" s="128"/>
      <c r="BV429" s="128"/>
      <c r="BW429" s="128"/>
      <c r="BX429" s="128"/>
      <c r="BY429" s="128"/>
      <c r="BZ429" s="128"/>
      <c r="CA429" s="128"/>
      <c r="CB429" s="128"/>
      <c r="CC429" s="128"/>
      <c r="CD429" s="128"/>
      <c r="CE429" s="128"/>
      <c r="CF429" s="128"/>
      <c r="CG429" s="128"/>
      <c r="CH429" s="128"/>
      <c r="CI429" s="128"/>
      <c r="CJ429" s="128"/>
      <c r="CK429" s="128"/>
      <c r="CL429" s="128"/>
      <c r="CM429" s="128"/>
      <c r="CN429" s="128"/>
      <c r="CO429" s="128"/>
      <c r="CP429" s="128"/>
      <c r="CQ429" s="128"/>
      <c r="CR429" s="128"/>
      <c r="CS429" s="128"/>
      <c r="CT429" s="128"/>
      <c r="CU429" s="128"/>
    </row>
    <row r="430" spans="2:99" ht="14.5" outlineLevel="1" thickBot="1">
      <c r="B430" s="186"/>
      <c r="C430" s="337" t="s">
        <v>277</v>
      </c>
      <c r="D430" s="338"/>
      <c r="E430" s="338"/>
      <c r="F430" s="346"/>
      <c r="G430" s="346"/>
      <c r="H430" s="150">
        <f>-H152</f>
        <v>-31151.617857142857</v>
      </c>
      <c r="I430" s="150"/>
      <c r="J430" s="150"/>
      <c r="K430" s="150"/>
      <c r="L430" s="150"/>
      <c r="M430" s="150"/>
      <c r="N430" s="150"/>
      <c r="O430" s="150"/>
      <c r="P430" s="150"/>
      <c r="Q430" s="150"/>
      <c r="R430" s="150"/>
      <c r="S430" s="150"/>
      <c r="T430" s="150"/>
      <c r="U430" s="150"/>
      <c r="V430" s="150"/>
      <c r="W430" s="150"/>
      <c r="X430" s="150"/>
      <c r="Y430" s="150"/>
      <c r="Z430" s="150"/>
      <c r="AA430" s="150"/>
      <c r="AB430" s="150"/>
      <c r="AC430" s="150"/>
      <c r="AD430" s="150"/>
      <c r="AE430" s="150"/>
      <c r="AF430" s="150"/>
      <c r="AG430" s="150"/>
      <c r="AH430" s="128"/>
      <c r="AI430" s="128"/>
      <c r="AJ430" s="128"/>
      <c r="AK430" s="128"/>
      <c r="AL430" s="128"/>
      <c r="AM430" s="128"/>
      <c r="AN430" s="128"/>
      <c r="AO430" s="128"/>
      <c r="AP430" s="128"/>
      <c r="AQ430" s="128"/>
      <c r="AR430" s="128"/>
      <c r="AS430" s="128"/>
      <c r="AT430" s="128"/>
      <c r="AU430" s="128"/>
      <c r="AV430" s="128"/>
      <c r="AW430" s="128"/>
      <c r="AX430" s="128"/>
      <c r="AY430" s="128"/>
      <c r="AZ430" s="128"/>
      <c r="BA430" s="128"/>
      <c r="BB430" s="128"/>
      <c r="BC430" s="128"/>
      <c r="BD430" s="128"/>
      <c r="BE430" s="128"/>
      <c r="BF430" s="128"/>
      <c r="BG430" s="128"/>
      <c r="BH430" s="128"/>
      <c r="BI430" s="128"/>
      <c r="BJ430" s="128"/>
      <c r="BK430" s="128"/>
      <c r="BL430" s="128"/>
      <c r="BM430" s="128"/>
      <c r="BN430" s="128"/>
      <c r="BO430" s="128"/>
      <c r="BP430" s="128"/>
      <c r="BQ430" s="128"/>
      <c r="BR430" s="128"/>
      <c r="BS430" s="128"/>
      <c r="BT430" s="128"/>
      <c r="BU430" s="128"/>
      <c r="BV430" s="128"/>
      <c r="BW430" s="128"/>
      <c r="BX430" s="128"/>
      <c r="BY430" s="128"/>
      <c r="BZ430" s="128"/>
      <c r="CA430" s="128"/>
      <c r="CB430" s="128"/>
      <c r="CC430" s="128"/>
      <c r="CD430" s="128"/>
      <c r="CE430" s="128"/>
      <c r="CF430" s="128"/>
      <c r="CG430" s="128"/>
      <c r="CH430" s="128"/>
      <c r="CI430" s="128"/>
      <c r="CJ430" s="128"/>
      <c r="CK430" s="128"/>
      <c r="CL430" s="128"/>
      <c r="CM430" s="128"/>
      <c r="CN430" s="128"/>
      <c r="CO430" s="128"/>
      <c r="CP430" s="128"/>
      <c r="CQ430" s="128"/>
      <c r="CR430" s="128"/>
      <c r="CS430" s="128"/>
      <c r="CT430" s="128"/>
      <c r="CU430" s="128"/>
    </row>
    <row r="431" spans="2:99" ht="14.5" outlineLevel="1" thickBot="1">
      <c r="B431" s="186"/>
      <c r="C431" s="337" t="s">
        <v>278</v>
      </c>
      <c r="D431" s="338"/>
      <c r="E431" s="338"/>
      <c r="F431" s="346"/>
      <c r="G431" s="346"/>
      <c r="H431" s="150">
        <f>-H153</f>
        <v>0</v>
      </c>
      <c r="I431" s="150"/>
      <c r="J431" s="150"/>
      <c r="K431" s="150"/>
      <c r="L431" s="150"/>
      <c r="M431" s="150"/>
      <c r="N431" s="150"/>
      <c r="O431" s="150"/>
      <c r="P431" s="150"/>
      <c r="Q431" s="150"/>
      <c r="R431" s="150"/>
      <c r="S431" s="150"/>
      <c r="T431" s="150"/>
      <c r="U431" s="150"/>
      <c r="V431" s="150"/>
      <c r="W431" s="150"/>
      <c r="X431" s="150"/>
      <c r="Y431" s="150"/>
      <c r="Z431" s="150"/>
      <c r="AA431" s="150"/>
      <c r="AB431" s="150"/>
      <c r="AC431" s="150"/>
      <c r="AD431" s="150"/>
      <c r="AE431" s="150"/>
      <c r="AF431" s="150"/>
      <c r="AG431" s="150"/>
      <c r="AH431" s="128"/>
      <c r="AI431" s="128"/>
      <c r="AJ431" s="128"/>
      <c r="AK431" s="128"/>
      <c r="AL431" s="128"/>
      <c r="AM431" s="128"/>
      <c r="AN431" s="128"/>
      <c r="AO431" s="128"/>
      <c r="AP431" s="128"/>
      <c r="AQ431" s="128"/>
      <c r="AR431" s="128"/>
      <c r="AS431" s="128"/>
      <c r="AT431" s="128"/>
      <c r="AU431" s="128"/>
      <c r="AV431" s="128"/>
      <c r="AW431" s="128"/>
      <c r="AX431" s="128"/>
      <c r="AY431" s="128"/>
      <c r="AZ431" s="128"/>
      <c r="BA431" s="128"/>
      <c r="BB431" s="128"/>
      <c r="BC431" s="128"/>
      <c r="BD431" s="128"/>
      <c r="BE431" s="128"/>
      <c r="BF431" s="128"/>
      <c r="BG431" s="128"/>
      <c r="BH431" s="128"/>
      <c r="BI431" s="128"/>
      <c r="BJ431" s="128"/>
      <c r="BK431" s="128"/>
      <c r="BL431" s="128"/>
      <c r="BM431" s="128"/>
      <c r="BN431" s="128"/>
      <c r="BO431" s="128"/>
      <c r="BP431" s="128"/>
      <c r="BQ431" s="128"/>
      <c r="BR431" s="128"/>
      <c r="BS431" s="128"/>
      <c r="BT431" s="128"/>
      <c r="BU431" s="128"/>
      <c r="BV431" s="128"/>
      <c r="BW431" s="128"/>
      <c r="BX431" s="128"/>
      <c r="BY431" s="128"/>
      <c r="BZ431" s="128"/>
      <c r="CA431" s="128"/>
      <c r="CB431" s="128"/>
      <c r="CC431" s="128"/>
      <c r="CD431" s="128"/>
      <c r="CE431" s="128"/>
      <c r="CF431" s="128"/>
      <c r="CG431" s="128"/>
      <c r="CH431" s="128"/>
      <c r="CI431" s="128"/>
      <c r="CJ431" s="128"/>
      <c r="CK431" s="128"/>
      <c r="CL431" s="128"/>
      <c r="CM431" s="128"/>
      <c r="CN431" s="128"/>
      <c r="CO431" s="128"/>
      <c r="CP431" s="128"/>
      <c r="CQ431" s="128"/>
      <c r="CR431" s="128"/>
      <c r="CS431" s="128"/>
      <c r="CT431" s="128"/>
      <c r="CU431" s="128"/>
    </row>
    <row r="432" spans="2:99" ht="14.5" outlineLevel="1" thickBot="1">
      <c r="B432" s="186"/>
      <c r="C432" s="337" t="s">
        <v>267</v>
      </c>
      <c r="D432" s="338"/>
      <c r="E432" s="338"/>
      <c r="F432" s="346"/>
      <c r="G432" s="346"/>
      <c r="H432" s="150">
        <f>-H154</f>
        <v>0</v>
      </c>
      <c r="I432" s="150"/>
      <c r="J432" s="150"/>
      <c r="K432" s="150"/>
      <c r="L432" s="150"/>
      <c r="M432" s="150"/>
      <c r="N432" s="150"/>
      <c r="O432" s="150"/>
      <c r="P432" s="150"/>
      <c r="Q432" s="150"/>
      <c r="R432" s="150"/>
      <c r="S432" s="150"/>
      <c r="T432" s="150"/>
      <c r="U432" s="150"/>
      <c r="V432" s="150"/>
      <c r="W432" s="150"/>
      <c r="X432" s="150"/>
      <c r="Y432" s="150"/>
      <c r="Z432" s="150"/>
      <c r="AA432" s="150"/>
      <c r="AB432" s="150"/>
      <c r="AC432" s="150"/>
      <c r="AD432" s="150"/>
      <c r="AE432" s="150"/>
      <c r="AF432" s="150"/>
      <c r="AG432" s="150"/>
      <c r="AH432" s="128"/>
      <c r="AI432" s="128"/>
      <c r="AJ432" s="128"/>
      <c r="AK432" s="128"/>
      <c r="AL432" s="128"/>
      <c r="AM432" s="128"/>
      <c r="AN432" s="128"/>
      <c r="AO432" s="128"/>
      <c r="AP432" s="128"/>
      <c r="AQ432" s="128"/>
      <c r="AR432" s="128"/>
      <c r="AS432" s="128"/>
      <c r="AT432" s="128"/>
      <c r="AU432" s="128"/>
      <c r="AV432" s="128"/>
      <c r="AW432" s="128"/>
      <c r="AX432" s="128"/>
      <c r="AY432" s="128"/>
      <c r="AZ432" s="128"/>
      <c r="BA432" s="128"/>
      <c r="BB432" s="128"/>
      <c r="BC432" s="128"/>
      <c r="BD432" s="128"/>
      <c r="BE432" s="128"/>
      <c r="BF432" s="128"/>
      <c r="BG432" s="128"/>
      <c r="BH432" s="128"/>
      <c r="BI432" s="128"/>
      <c r="BJ432" s="128"/>
      <c r="BK432" s="128"/>
      <c r="BL432" s="128"/>
      <c r="BM432" s="128"/>
      <c r="BN432" s="128"/>
      <c r="BO432" s="128"/>
      <c r="BP432" s="128"/>
      <c r="BQ432" s="128"/>
      <c r="BR432" s="128"/>
      <c r="BS432" s="128"/>
      <c r="BT432" s="128"/>
      <c r="BU432" s="128"/>
      <c r="BV432" s="128"/>
      <c r="BW432" s="128"/>
      <c r="BX432" s="128"/>
      <c r="BY432" s="128"/>
      <c r="BZ432" s="128"/>
      <c r="CA432" s="128"/>
      <c r="CB432" s="128"/>
      <c r="CC432" s="128"/>
      <c r="CD432" s="128"/>
      <c r="CE432" s="128"/>
      <c r="CF432" s="128"/>
      <c r="CG432" s="128"/>
      <c r="CH432" s="128"/>
      <c r="CI432" s="128"/>
      <c r="CJ432" s="128"/>
      <c r="CK432" s="128"/>
      <c r="CL432" s="128"/>
      <c r="CM432" s="128"/>
      <c r="CN432" s="128"/>
      <c r="CO432" s="128"/>
      <c r="CP432" s="128"/>
      <c r="CQ432" s="128"/>
      <c r="CR432" s="128"/>
      <c r="CS432" s="128"/>
      <c r="CT432" s="128"/>
      <c r="CU432" s="128"/>
    </row>
    <row r="433" spans="1:99" ht="14.5" outlineLevel="1" thickBot="1">
      <c r="B433" s="186"/>
      <c r="C433" s="337" t="s">
        <v>343</v>
      </c>
      <c r="D433" s="338"/>
      <c r="E433" s="338"/>
      <c r="F433" s="346"/>
      <c r="G433" s="346"/>
      <c r="H433" s="150">
        <f>-H155</f>
        <v>0</v>
      </c>
      <c r="I433" s="150"/>
      <c r="J433" s="150"/>
      <c r="K433" s="150"/>
      <c r="L433" s="150"/>
      <c r="M433" s="150"/>
      <c r="N433" s="150"/>
      <c r="O433" s="150"/>
      <c r="P433" s="150"/>
      <c r="Q433" s="150"/>
      <c r="R433" s="150"/>
      <c r="S433" s="150"/>
      <c r="T433" s="150"/>
      <c r="U433" s="150"/>
      <c r="V433" s="150"/>
      <c r="W433" s="150"/>
      <c r="X433" s="150"/>
      <c r="Y433" s="150"/>
      <c r="Z433" s="150"/>
      <c r="AA433" s="150"/>
      <c r="AB433" s="150"/>
      <c r="AC433" s="150"/>
      <c r="AD433" s="150"/>
      <c r="AE433" s="150"/>
      <c r="AF433" s="150"/>
      <c r="AG433" s="150"/>
      <c r="AH433" s="128"/>
      <c r="AI433" s="128"/>
      <c r="AJ433" s="128"/>
      <c r="AK433" s="128"/>
      <c r="AL433" s="128"/>
      <c r="AM433" s="128"/>
      <c r="AN433" s="128"/>
      <c r="AO433" s="128"/>
      <c r="AP433" s="128"/>
      <c r="AQ433" s="128"/>
      <c r="AR433" s="128"/>
      <c r="AS433" s="128"/>
      <c r="AT433" s="128"/>
      <c r="AU433" s="128"/>
      <c r="AV433" s="128"/>
      <c r="AW433" s="128"/>
      <c r="AX433" s="128"/>
      <c r="AY433" s="128"/>
      <c r="AZ433" s="128"/>
      <c r="BA433" s="128"/>
      <c r="BB433" s="128"/>
      <c r="BC433" s="128"/>
      <c r="BD433" s="128"/>
      <c r="BE433" s="128"/>
      <c r="BF433" s="128"/>
      <c r="BG433" s="128"/>
      <c r="BH433" s="128"/>
      <c r="BI433" s="128"/>
      <c r="BJ433" s="128"/>
      <c r="BK433" s="128"/>
      <c r="BL433" s="128"/>
      <c r="BM433" s="128"/>
      <c r="BN433" s="128"/>
      <c r="BO433" s="128"/>
      <c r="BP433" s="128"/>
      <c r="BQ433" s="128"/>
      <c r="BR433" s="128"/>
      <c r="BS433" s="128"/>
      <c r="BT433" s="128"/>
      <c r="BU433" s="128"/>
      <c r="BV433" s="128"/>
      <c r="BW433" s="128"/>
      <c r="BX433" s="128"/>
      <c r="BY433" s="128"/>
      <c r="BZ433" s="128"/>
      <c r="CA433" s="128"/>
      <c r="CB433" s="128"/>
      <c r="CC433" s="128"/>
      <c r="CD433" s="128"/>
      <c r="CE433" s="128"/>
      <c r="CF433" s="128"/>
      <c r="CG433" s="128"/>
      <c r="CH433" s="128"/>
      <c r="CI433" s="128"/>
      <c r="CJ433" s="128"/>
      <c r="CK433" s="128"/>
      <c r="CL433" s="128"/>
      <c r="CM433" s="128"/>
      <c r="CN433" s="128"/>
      <c r="CO433" s="128"/>
      <c r="CP433" s="128"/>
      <c r="CQ433" s="128"/>
      <c r="CR433" s="128"/>
      <c r="CS433" s="128"/>
      <c r="CT433" s="128"/>
      <c r="CU433" s="128"/>
    </row>
    <row r="434" spans="1:99" ht="14.5" outlineLevel="1" thickBot="1">
      <c r="B434" s="186"/>
      <c r="C434" s="337" t="s">
        <v>344</v>
      </c>
      <c r="D434" s="338"/>
      <c r="E434" s="338"/>
      <c r="F434" s="346"/>
      <c r="G434" s="346"/>
      <c r="H434" s="150">
        <f>-H156</f>
        <v>-31151.617857142857</v>
      </c>
      <c r="I434" s="150"/>
      <c r="J434" s="150"/>
      <c r="K434" s="150"/>
      <c r="L434" s="150"/>
      <c r="M434" s="150"/>
      <c r="N434" s="150"/>
      <c r="O434" s="150"/>
      <c r="P434" s="150"/>
      <c r="Q434" s="150"/>
      <c r="R434" s="150"/>
      <c r="S434" s="150"/>
      <c r="T434" s="150"/>
      <c r="U434" s="150"/>
      <c r="V434" s="150"/>
      <c r="W434" s="150"/>
      <c r="X434" s="150"/>
      <c r="Y434" s="150"/>
      <c r="Z434" s="150"/>
      <c r="AA434" s="150"/>
      <c r="AB434" s="150"/>
      <c r="AC434" s="150"/>
      <c r="AD434" s="150"/>
      <c r="AE434" s="150"/>
      <c r="AF434" s="150"/>
      <c r="AG434" s="150"/>
      <c r="AH434" s="128"/>
      <c r="AI434" s="128"/>
      <c r="AJ434" s="128"/>
      <c r="AK434" s="128"/>
      <c r="AL434" s="128"/>
      <c r="AM434" s="128"/>
      <c r="AN434" s="128"/>
      <c r="AO434" s="128"/>
      <c r="AP434" s="128"/>
      <c r="AQ434" s="128"/>
      <c r="AR434" s="128"/>
      <c r="AS434" s="128"/>
      <c r="AT434" s="128"/>
      <c r="AU434" s="128"/>
      <c r="AV434" s="128"/>
      <c r="AW434" s="128"/>
      <c r="AX434" s="128"/>
      <c r="AY434" s="128"/>
      <c r="AZ434" s="128"/>
      <c r="BA434" s="128"/>
      <c r="BB434" s="128"/>
      <c r="BC434" s="128"/>
      <c r="BD434" s="128"/>
      <c r="BE434" s="128"/>
      <c r="BF434" s="128"/>
      <c r="BG434" s="128"/>
      <c r="BH434" s="128"/>
      <c r="BI434" s="128"/>
      <c r="BJ434" s="128"/>
      <c r="BK434" s="128"/>
      <c r="BL434" s="128"/>
      <c r="BM434" s="128"/>
      <c r="BN434" s="128"/>
      <c r="BO434" s="128"/>
      <c r="BP434" s="128"/>
      <c r="BQ434" s="128"/>
      <c r="BR434" s="128"/>
      <c r="BS434" s="128"/>
      <c r="BT434" s="128"/>
      <c r="BU434" s="128"/>
      <c r="BV434" s="128"/>
      <c r="BW434" s="128"/>
      <c r="BX434" s="128"/>
      <c r="BY434" s="128"/>
      <c r="BZ434" s="128"/>
      <c r="CA434" s="128"/>
      <c r="CB434" s="128"/>
      <c r="CC434" s="128"/>
      <c r="CD434" s="128"/>
      <c r="CE434" s="128"/>
      <c r="CF434" s="128"/>
      <c r="CG434" s="128"/>
      <c r="CH434" s="128"/>
      <c r="CI434" s="128"/>
      <c r="CJ434" s="128"/>
      <c r="CK434" s="128"/>
      <c r="CL434" s="128"/>
      <c r="CM434" s="128"/>
      <c r="CN434" s="128"/>
      <c r="CO434" s="128"/>
      <c r="CP434" s="128"/>
      <c r="CQ434" s="128"/>
      <c r="CR434" s="128"/>
      <c r="CS434" s="128"/>
      <c r="CT434" s="128"/>
      <c r="CU434" s="128"/>
    </row>
    <row r="435" spans="1:99" ht="15" outlineLevel="1" thickTop="1" thickBot="1">
      <c r="B435" s="292"/>
      <c r="C435" s="293" t="s">
        <v>485</v>
      </c>
      <c r="D435" s="294"/>
      <c r="E435" s="294"/>
      <c r="F435" s="375"/>
      <c r="G435" s="341"/>
      <c r="H435" s="271">
        <f>SUM(H430:H434)</f>
        <v>-62303.235714285714</v>
      </c>
      <c r="I435" s="271">
        <f t="shared" ref="I435:AG435" si="164">SUM(I430:I434)</f>
        <v>0</v>
      </c>
      <c r="J435" s="271">
        <f t="shared" si="164"/>
        <v>0</v>
      </c>
      <c r="K435" s="271">
        <f t="shared" si="164"/>
        <v>0</v>
      </c>
      <c r="L435" s="271">
        <f t="shared" si="164"/>
        <v>0</v>
      </c>
      <c r="M435" s="271">
        <f t="shared" si="164"/>
        <v>0</v>
      </c>
      <c r="N435" s="271">
        <f t="shared" si="164"/>
        <v>0</v>
      </c>
      <c r="O435" s="271">
        <f t="shared" si="164"/>
        <v>0</v>
      </c>
      <c r="P435" s="271">
        <f t="shared" si="164"/>
        <v>0</v>
      </c>
      <c r="Q435" s="271">
        <f t="shared" si="164"/>
        <v>0</v>
      </c>
      <c r="R435" s="271">
        <f t="shared" si="164"/>
        <v>0</v>
      </c>
      <c r="S435" s="271">
        <f t="shared" si="164"/>
        <v>0</v>
      </c>
      <c r="T435" s="271">
        <f t="shared" si="164"/>
        <v>0</v>
      </c>
      <c r="U435" s="271">
        <f t="shared" si="164"/>
        <v>0</v>
      </c>
      <c r="V435" s="271">
        <f t="shared" si="164"/>
        <v>0</v>
      </c>
      <c r="W435" s="271">
        <f t="shared" si="164"/>
        <v>0</v>
      </c>
      <c r="X435" s="271">
        <f t="shared" si="164"/>
        <v>0</v>
      </c>
      <c r="Y435" s="271">
        <f t="shared" si="164"/>
        <v>0</v>
      </c>
      <c r="Z435" s="271">
        <f t="shared" si="164"/>
        <v>0</v>
      </c>
      <c r="AA435" s="271">
        <f t="shared" si="164"/>
        <v>0</v>
      </c>
      <c r="AB435" s="271">
        <f t="shared" si="164"/>
        <v>0</v>
      </c>
      <c r="AC435" s="271">
        <f t="shared" si="164"/>
        <v>0</v>
      </c>
      <c r="AD435" s="271">
        <f t="shared" si="164"/>
        <v>0</v>
      </c>
      <c r="AE435" s="271">
        <f t="shared" si="164"/>
        <v>0</v>
      </c>
      <c r="AF435" s="271">
        <f t="shared" si="164"/>
        <v>0</v>
      </c>
      <c r="AG435" s="271">
        <f t="shared" si="164"/>
        <v>0</v>
      </c>
      <c r="AH435" s="128"/>
      <c r="AI435" s="128"/>
      <c r="AJ435" s="128"/>
      <c r="AK435" s="128"/>
      <c r="AL435" s="128"/>
      <c r="AM435" s="128"/>
      <c r="AN435" s="128"/>
      <c r="AO435" s="128"/>
      <c r="AP435" s="128"/>
      <c r="AQ435" s="128"/>
      <c r="AR435" s="128"/>
      <c r="AS435" s="128"/>
      <c r="AT435" s="128"/>
      <c r="AU435" s="128"/>
      <c r="AV435" s="128"/>
      <c r="AW435" s="128"/>
      <c r="AX435" s="128"/>
      <c r="AY435" s="128"/>
      <c r="AZ435" s="128"/>
      <c r="BA435" s="128"/>
      <c r="BB435" s="128"/>
      <c r="BC435" s="128"/>
      <c r="BD435" s="128"/>
      <c r="BE435" s="128"/>
      <c r="BF435" s="128"/>
      <c r="BG435" s="128"/>
      <c r="BH435" s="128"/>
      <c r="BI435" s="128"/>
      <c r="BJ435" s="128"/>
      <c r="BK435" s="128"/>
      <c r="BL435" s="128"/>
      <c r="BM435" s="128"/>
      <c r="BN435" s="128"/>
      <c r="BO435" s="128"/>
      <c r="BP435" s="128"/>
      <c r="BQ435" s="128"/>
      <c r="BR435" s="128"/>
      <c r="BS435" s="128"/>
      <c r="BT435" s="128"/>
      <c r="BU435" s="128"/>
      <c r="BV435" s="128"/>
      <c r="BW435" s="128"/>
      <c r="BX435" s="128"/>
      <c r="BY435" s="128"/>
      <c r="BZ435" s="128"/>
      <c r="CA435" s="128"/>
      <c r="CB435" s="128"/>
      <c r="CC435" s="128"/>
      <c r="CD435" s="128"/>
      <c r="CE435" s="128"/>
      <c r="CF435" s="128"/>
      <c r="CG435" s="128"/>
      <c r="CH435" s="128"/>
      <c r="CI435" s="128"/>
      <c r="CJ435" s="128"/>
      <c r="CK435" s="128"/>
      <c r="CL435" s="128"/>
      <c r="CM435" s="128"/>
      <c r="CN435" s="128"/>
      <c r="CO435" s="128"/>
      <c r="CP435" s="128"/>
      <c r="CQ435" s="128"/>
      <c r="CR435" s="128"/>
      <c r="CS435" s="128"/>
      <c r="CT435" s="128"/>
      <c r="CU435" s="128"/>
    </row>
    <row r="436" spans="1:99" ht="15" outlineLevel="1" thickTop="1" thickBot="1">
      <c r="F436" s="128"/>
      <c r="H436" s="340"/>
      <c r="I436" s="340"/>
      <c r="J436" s="340"/>
      <c r="K436" s="340"/>
      <c r="L436" s="340"/>
      <c r="M436" s="340"/>
      <c r="N436" s="340"/>
      <c r="O436" s="340"/>
      <c r="P436" s="340"/>
      <c r="Q436" s="340"/>
      <c r="R436" s="340"/>
      <c r="S436" s="340"/>
      <c r="T436" s="340"/>
      <c r="U436" s="340"/>
      <c r="V436" s="340"/>
      <c r="W436" s="340"/>
      <c r="X436" s="340"/>
      <c r="Y436" s="340"/>
      <c r="Z436" s="340"/>
      <c r="AA436" s="340"/>
      <c r="AB436" s="340"/>
      <c r="AC436" s="340"/>
      <c r="AD436" s="340"/>
      <c r="AE436" s="340"/>
      <c r="AF436" s="340"/>
      <c r="AG436" s="340"/>
      <c r="AH436" s="128"/>
      <c r="AI436" s="128"/>
      <c r="AJ436" s="128"/>
      <c r="AK436" s="128"/>
      <c r="AL436" s="128"/>
      <c r="AM436" s="128"/>
      <c r="AN436" s="128"/>
      <c r="AO436" s="128"/>
      <c r="AP436" s="128"/>
      <c r="AQ436" s="128"/>
      <c r="AR436" s="128"/>
      <c r="AS436" s="128"/>
      <c r="AT436" s="128"/>
      <c r="AU436" s="128"/>
      <c r="AV436" s="128"/>
      <c r="AW436" s="128"/>
      <c r="AX436" s="128"/>
      <c r="AY436" s="128"/>
      <c r="AZ436" s="128"/>
      <c r="BA436" s="128"/>
      <c r="BB436" s="128"/>
      <c r="BC436" s="128"/>
      <c r="BD436" s="128"/>
      <c r="BE436" s="128"/>
      <c r="BF436" s="128"/>
      <c r="BG436" s="128"/>
      <c r="BH436" s="128"/>
      <c r="BI436" s="128"/>
      <c r="BJ436" s="128"/>
      <c r="BK436" s="128"/>
      <c r="BL436" s="128"/>
      <c r="BM436" s="128"/>
      <c r="BN436" s="128"/>
      <c r="BO436" s="128"/>
      <c r="BP436" s="128"/>
      <c r="BQ436" s="128"/>
      <c r="BR436" s="128"/>
      <c r="BS436" s="128"/>
      <c r="BT436" s="128"/>
      <c r="BU436" s="128"/>
      <c r="BV436" s="128"/>
      <c r="BW436" s="128"/>
      <c r="BX436" s="128"/>
      <c r="BY436" s="128"/>
      <c r="BZ436" s="128"/>
      <c r="CA436" s="128"/>
      <c r="CB436" s="128"/>
      <c r="CC436" s="128"/>
      <c r="CD436" s="128"/>
      <c r="CE436" s="128"/>
      <c r="CF436" s="128"/>
      <c r="CG436" s="128"/>
      <c r="CH436" s="128"/>
      <c r="CI436" s="128"/>
      <c r="CJ436" s="128"/>
      <c r="CK436" s="128"/>
      <c r="CL436" s="128"/>
      <c r="CM436" s="128"/>
      <c r="CN436" s="128"/>
      <c r="CO436" s="128"/>
      <c r="CP436" s="128"/>
      <c r="CQ436" s="128"/>
      <c r="CR436" s="128"/>
      <c r="CS436" s="128"/>
      <c r="CT436" s="128"/>
      <c r="CU436" s="128"/>
    </row>
    <row r="437" spans="1:99" ht="14.5" outlineLevel="1" thickBot="1">
      <c r="A437" s="128"/>
      <c r="B437" s="132"/>
      <c r="C437" s="132" t="s">
        <v>486</v>
      </c>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c r="AD437" s="133"/>
      <c r="AE437" s="133"/>
      <c r="AF437" s="133"/>
      <c r="AG437" s="147"/>
      <c r="AH437" s="128"/>
      <c r="AI437" s="128"/>
      <c r="AJ437" s="128"/>
      <c r="AK437" s="128"/>
      <c r="AL437" s="128"/>
      <c r="AM437" s="128"/>
      <c r="AN437" s="128"/>
      <c r="AO437" s="128"/>
      <c r="AP437" s="128"/>
      <c r="AQ437" s="128"/>
      <c r="AR437" s="128"/>
      <c r="AS437" s="128"/>
      <c r="AT437" s="128"/>
      <c r="AU437" s="128"/>
      <c r="AV437" s="128"/>
      <c r="AW437" s="128"/>
      <c r="AX437" s="128"/>
      <c r="AY437" s="128"/>
      <c r="AZ437" s="128"/>
      <c r="BA437" s="128"/>
      <c r="BB437" s="128"/>
      <c r="BC437" s="128"/>
      <c r="BD437" s="128"/>
      <c r="BE437" s="128"/>
      <c r="BF437" s="128"/>
      <c r="BG437" s="128"/>
      <c r="BH437" s="128"/>
      <c r="BI437" s="128"/>
      <c r="BJ437" s="128"/>
      <c r="BK437" s="128"/>
      <c r="BL437" s="128"/>
      <c r="BM437" s="128"/>
      <c r="BN437" s="128"/>
      <c r="BO437" s="128"/>
      <c r="BP437" s="128"/>
      <c r="BQ437" s="128"/>
      <c r="BR437" s="128"/>
      <c r="BS437" s="128"/>
      <c r="BT437" s="128"/>
      <c r="BU437" s="128"/>
      <c r="BV437" s="128"/>
      <c r="BW437" s="128"/>
      <c r="BX437" s="128"/>
      <c r="BY437" s="128"/>
      <c r="BZ437" s="128"/>
      <c r="CA437" s="128"/>
      <c r="CB437" s="128"/>
      <c r="CC437" s="128"/>
      <c r="CD437" s="128"/>
      <c r="CE437" s="128"/>
      <c r="CF437" s="128"/>
      <c r="CG437" s="128"/>
      <c r="CH437" s="128"/>
      <c r="CI437" s="128"/>
      <c r="CJ437" s="128"/>
      <c r="CK437" s="128"/>
      <c r="CL437" s="128"/>
      <c r="CM437" s="128"/>
      <c r="CN437" s="128"/>
      <c r="CO437" s="128"/>
      <c r="CP437" s="128"/>
      <c r="CQ437" s="128"/>
      <c r="CR437" s="128"/>
      <c r="CS437" s="128"/>
      <c r="CT437" s="128"/>
      <c r="CU437" s="128"/>
    </row>
    <row r="438" spans="1:99" ht="14.5" outlineLevel="1" thickBot="1">
      <c r="A438" s="128"/>
      <c r="B438" s="186"/>
      <c r="C438" s="337" t="str">
        <f t="shared" ref="C438:C443" si="165">C283</f>
        <v>Solar PV Panels</v>
      </c>
      <c r="D438" s="338"/>
      <c r="E438" s="338"/>
      <c r="F438" s="346"/>
      <c r="G438" s="346"/>
      <c r="H438" s="150">
        <f t="shared" ref="H438:AB444" si="166">-H313</f>
        <v>0</v>
      </c>
      <c r="I438" s="150">
        <f t="shared" si="166"/>
        <v>0</v>
      </c>
      <c r="J438" s="150">
        <f t="shared" si="166"/>
        <v>0</v>
      </c>
      <c r="K438" s="150">
        <f t="shared" si="166"/>
        <v>0</v>
      </c>
      <c r="L438" s="150">
        <f t="shared" si="166"/>
        <v>0</v>
      </c>
      <c r="M438" s="150">
        <f t="shared" si="166"/>
        <v>0</v>
      </c>
      <c r="N438" s="150">
        <f t="shared" si="166"/>
        <v>0</v>
      </c>
      <c r="O438" s="150">
        <f t="shared" si="166"/>
        <v>0</v>
      </c>
      <c r="P438" s="150">
        <f t="shared" si="166"/>
        <v>0</v>
      </c>
      <c r="Q438" s="150">
        <f t="shared" si="166"/>
        <v>0</v>
      </c>
      <c r="R438" s="150">
        <f t="shared" si="166"/>
        <v>0</v>
      </c>
      <c r="S438" s="150">
        <f t="shared" si="166"/>
        <v>0</v>
      </c>
      <c r="T438" s="150">
        <f t="shared" si="166"/>
        <v>0</v>
      </c>
      <c r="U438" s="150">
        <f t="shared" si="166"/>
        <v>0</v>
      </c>
      <c r="V438" s="150">
        <f t="shared" si="166"/>
        <v>0</v>
      </c>
      <c r="W438" s="150">
        <f t="shared" si="166"/>
        <v>0</v>
      </c>
      <c r="X438" s="150">
        <f t="shared" si="166"/>
        <v>0</v>
      </c>
      <c r="Y438" s="150">
        <f t="shared" si="166"/>
        <v>0</v>
      </c>
      <c r="Z438" s="150">
        <f t="shared" si="166"/>
        <v>0</v>
      </c>
      <c r="AA438" s="150">
        <f t="shared" si="166"/>
        <v>0</v>
      </c>
      <c r="AB438" s="150">
        <f t="shared" si="166"/>
        <v>0</v>
      </c>
      <c r="AC438" s="150">
        <f t="shared" ref="AC438:AG443" si="167">AC313</f>
        <v>0</v>
      </c>
      <c r="AD438" s="150">
        <f t="shared" si="167"/>
        <v>0</v>
      </c>
      <c r="AE438" s="150">
        <f t="shared" si="167"/>
        <v>0</v>
      </c>
      <c r="AF438" s="150">
        <f t="shared" si="167"/>
        <v>0</v>
      </c>
      <c r="AG438" s="150">
        <f t="shared" si="167"/>
        <v>0</v>
      </c>
      <c r="AH438" s="128"/>
      <c r="AI438" s="128"/>
      <c r="AJ438" s="128"/>
      <c r="AK438" s="128"/>
      <c r="AL438" s="128"/>
      <c r="AM438" s="128"/>
      <c r="AN438" s="128"/>
      <c r="AO438" s="128"/>
      <c r="AP438" s="128"/>
      <c r="AQ438" s="128"/>
      <c r="AR438" s="128"/>
      <c r="AS438" s="128"/>
      <c r="AT438" s="128"/>
      <c r="AU438" s="128"/>
      <c r="AV438" s="128"/>
      <c r="AW438" s="128"/>
      <c r="AX438" s="128"/>
      <c r="AY438" s="128"/>
      <c r="AZ438" s="128"/>
      <c r="BA438" s="128"/>
      <c r="BB438" s="128"/>
      <c r="BC438" s="128"/>
      <c r="BD438" s="128"/>
      <c r="BE438" s="128"/>
      <c r="BF438" s="128"/>
      <c r="BG438" s="128"/>
      <c r="BH438" s="128"/>
      <c r="BI438" s="128"/>
      <c r="BJ438" s="128"/>
      <c r="BK438" s="128"/>
      <c r="BL438" s="128"/>
      <c r="BM438" s="128"/>
      <c r="BN438" s="128"/>
      <c r="BO438" s="128"/>
      <c r="BP438" s="128"/>
      <c r="BQ438" s="128"/>
      <c r="BR438" s="128"/>
      <c r="BS438" s="128"/>
      <c r="BT438" s="128"/>
      <c r="BU438" s="128"/>
      <c r="BV438" s="128"/>
      <c r="BW438" s="128"/>
      <c r="BX438" s="128"/>
      <c r="BY438" s="128"/>
      <c r="BZ438" s="128"/>
      <c r="CA438" s="128"/>
      <c r="CB438" s="128"/>
      <c r="CC438" s="128"/>
      <c r="CD438" s="128"/>
      <c r="CE438" s="128"/>
      <c r="CF438" s="128"/>
      <c r="CG438" s="128"/>
      <c r="CH438" s="128"/>
      <c r="CI438" s="128"/>
      <c r="CJ438" s="128"/>
      <c r="CK438" s="128"/>
      <c r="CL438" s="128"/>
      <c r="CM438" s="128"/>
      <c r="CN438" s="128"/>
      <c r="CO438" s="128"/>
      <c r="CP438" s="128"/>
      <c r="CQ438" s="128"/>
      <c r="CR438" s="128"/>
      <c r="CS438" s="128"/>
      <c r="CT438" s="128"/>
      <c r="CU438" s="128"/>
    </row>
    <row r="439" spans="1:99" ht="14.5" outlineLevel="1" thickBot="1">
      <c r="A439" s="128"/>
      <c r="B439" s="186"/>
      <c r="C439" s="337" t="str">
        <f t="shared" si="165"/>
        <v>Solar PV Inverter / Converter</v>
      </c>
      <c r="D439" s="338"/>
      <c r="E439" s="338"/>
      <c r="F439" s="346"/>
      <c r="G439" s="346"/>
      <c r="H439" s="150">
        <f t="shared" si="166"/>
        <v>0</v>
      </c>
      <c r="I439" s="150">
        <f t="shared" si="166"/>
        <v>0</v>
      </c>
      <c r="J439" s="150">
        <f t="shared" si="166"/>
        <v>0</v>
      </c>
      <c r="K439" s="150">
        <f t="shared" si="166"/>
        <v>0</v>
      </c>
      <c r="L439" s="150">
        <f t="shared" si="166"/>
        <v>0</v>
      </c>
      <c r="M439" s="150">
        <f t="shared" si="166"/>
        <v>0</v>
      </c>
      <c r="N439" s="150">
        <f t="shared" si="166"/>
        <v>0</v>
      </c>
      <c r="O439" s="150">
        <f t="shared" si="166"/>
        <v>0</v>
      </c>
      <c r="P439" s="150">
        <f t="shared" si="166"/>
        <v>0</v>
      </c>
      <c r="Q439" s="150">
        <f t="shared" si="166"/>
        <v>0</v>
      </c>
      <c r="R439" s="150">
        <f t="shared" si="166"/>
        <v>0</v>
      </c>
      <c r="S439" s="150">
        <f t="shared" si="166"/>
        <v>0</v>
      </c>
      <c r="T439" s="150">
        <f t="shared" si="166"/>
        <v>0</v>
      </c>
      <c r="U439" s="150">
        <f t="shared" si="166"/>
        <v>0</v>
      </c>
      <c r="V439" s="150">
        <f t="shared" si="166"/>
        <v>0</v>
      </c>
      <c r="W439" s="150">
        <f t="shared" si="166"/>
        <v>-6105.0792191634855</v>
      </c>
      <c r="X439" s="150">
        <f t="shared" si="166"/>
        <v>0</v>
      </c>
      <c r="Y439" s="150">
        <f t="shared" si="166"/>
        <v>0</v>
      </c>
      <c r="Z439" s="150">
        <f t="shared" si="166"/>
        <v>0</v>
      </c>
      <c r="AA439" s="150">
        <f t="shared" si="166"/>
        <v>0</v>
      </c>
      <c r="AB439" s="150">
        <f t="shared" si="166"/>
        <v>0</v>
      </c>
      <c r="AC439" s="150">
        <f t="shared" si="167"/>
        <v>0</v>
      </c>
      <c r="AD439" s="150">
        <f t="shared" si="167"/>
        <v>0</v>
      </c>
      <c r="AE439" s="150">
        <f t="shared" si="167"/>
        <v>0</v>
      </c>
      <c r="AF439" s="150">
        <f t="shared" si="167"/>
        <v>0</v>
      </c>
      <c r="AG439" s="150">
        <f t="shared" si="167"/>
        <v>0</v>
      </c>
      <c r="AH439" s="128"/>
      <c r="AI439" s="128"/>
      <c r="AJ439" s="128"/>
      <c r="AK439" s="128"/>
      <c r="AL439" s="128"/>
      <c r="AM439" s="128"/>
      <c r="AN439" s="128"/>
      <c r="AO439" s="128"/>
      <c r="AP439" s="128"/>
      <c r="AQ439" s="128"/>
      <c r="AR439" s="128"/>
      <c r="AS439" s="128"/>
      <c r="AT439" s="128"/>
      <c r="AU439" s="128"/>
      <c r="AV439" s="128"/>
      <c r="AW439" s="128"/>
      <c r="AX439" s="128"/>
      <c r="AY439" s="128"/>
      <c r="AZ439" s="128"/>
      <c r="BA439" s="128"/>
      <c r="BB439" s="128"/>
      <c r="BC439" s="128"/>
      <c r="BD439" s="128"/>
      <c r="BE439" s="128"/>
      <c r="BF439" s="128"/>
      <c r="BG439" s="128"/>
      <c r="BH439" s="128"/>
      <c r="BI439" s="128"/>
      <c r="BJ439" s="128"/>
      <c r="BK439" s="128"/>
      <c r="BL439" s="128"/>
      <c r="BM439" s="128"/>
      <c r="BN439" s="128"/>
      <c r="BO439" s="128"/>
      <c r="BP439" s="128"/>
      <c r="BQ439" s="128"/>
      <c r="BR439" s="128"/>
      <c r="BS439" s="128"/>
      <c r="BT439" s="128"/>
      <c r="BU439" s="128"/>
      <c r="BV439" s="128"/>
      <c r="BW439" s="128"/>
      <c r="BX439" s="128"/>
      <c r="BY439" s="128"/>
      <c r="BZ439" s="128"/>
      <c r="CA439" s="128"/>
      <c r="CB439" s="128"/>
      <c r="CC439" s="128"/>
      <c r="CD439" s="128"/>
      <c r="CE439" s="128"/>
      <c r="CF439" s="128"/>
      <c r="CG439" s="128"/>
      <c r="CH439" s="128"/>
      <c r="CI439" s="128"/>
      <c r="CJ439" s="128"/>
      <c r="CK439" s="128"/>
      <c r="CL439" s="128"/>
      <c r="CM439" s="128"/>
      <c r="CN439" s="128"/>
      <c r="CO439" s="128"/>
      <c r="CP439" s="128"/>
      <c r="CQ439" s="128"/>
      <c r="CR439" s="128"/>
      <c r="CS439" s="128"/>
      <c r="CT439" s="128"/>
      <c r="CU439" s="128"/>
    </row>
    <row r="440" spans="1:99" ht="14.5" outlineLevel="1" thickBot="1">
      <c r="A440" s="128"/>
      <c r="B440" s="186"/>
      <c r="C440" s="337" t="str">
        <f t="shared" si="165"/>
        <v>Battery Storage System</v>
      </c>
      <c r="D440" s="338"/>
      <c r="E440" s="338"/>
      <c r="F440" s="346"/>
      <c r="G440" s="346"/>
      <c r="H440" s="150">
        <f t="shared" si="166"/>
        <v>0</v>
      </c>
      <c r="I440" s="150">
        <f t="shared" si="166"/>
        <v>0</v>
      </c>
      <c r="J440" s="150">
        <f t="shared" si="166"/>
        <v>0</v>
      </c>
      <c r="K440" s="150">
        <f t="shared" si="166"/>
        <v>0</v>
      </c>
      <c r="L440" s="150">
        <f t="shared" si="166"/>
        <v>0</v>
      </c>
      <c r="M440" s="150">
        <f t="shared" si="166"/>
        <v>0</v>
      </c>
      <c r="N440" s="150">
        <f t="shared" si="166"/>
        <v>0</v>
      </c>
      <c r="O440" s="150">
        <f t="shared" si="166"/>
        <v>0</v>
      </c>
      <c r="P440" s="150">
        <f t="shared" si="166"/>
        <v>0</v>
      </c>
      <c r="Q440" s="150">
        <f t="shared" si="166"/>
        <v>0</v>
      </c>
      <c r="R440" s="150">
        <f t="shared" si="166"/>
        <v>0</v>
      </c>
      <c r="S440" s="150">
        <f t="shared" si="166"/>
        <v>0</v>
      </c>
      <c r="T440" s="150">
        <f t="shared" si="166"/>
        <v>0</v>
      </c>
      <c r="U440" s="150">
        <f t="shared" si="166"/>
        <v>0</v>
      </c>
      <c r="V440" s="150">
        <f t="shared" si="166"/>
        <v>0</v>
      </c>
      <c r="W440" s="150">
        <f t="shared" si="166"/>
        <v>0</v>
      </c>
      <c r="X440" s="150">
        <f t="shared" si="166"/>
        <v>0</v>
      </c>
      <c r="Y440" s="150">
        <f t="shared" si="166"/>
        <v>0</v>
      </c>
      <c r="Z440" s="150">
        <f t="shared" si="166"/>
        <v>0</v>
      </c>
      <c r="AA440" s="150">
        <f t="shared" si="166"/>
        <v>0</v>
      </c>
      <c r="AB440" s="150">
        <f t="shared" si="166"/>
        <v>0</v>
      </c>
      <c r="AC440" s="150">
        <f t="shared" si="167"/>
        <v>0</v>
      </c>
      <c r="AD440" s="150">
        <f t="shared" si="167"/>
        <v>0</v>
      </c>
      <c r="AE440" s="150">
        <f t="shared" si="167"/>
        <v>0</v>
      </c>
      <c r="AF440" s="150">
        <f t="shared" si="167"/>
        <v>0</v>
      </c>
      <c r="AG440" s="150">
        <f t="shared" si="167"/>
        <v>0</v>
      </c>
      <c r="AH440" s="128"/>
      <c r="AI440" s="128"/>
      <c r="AJ440" s="128"/>
      <c r="AK440" s="128"/>
      <c r="AL440" s="128"/>
      <c r="AM440" s="128"/>
      <c r="AN440" s="128"/>
      <c r="AO440" s="128"/>
      <c r="AP440" s="128"/>
      <c r="AQ440" s="128"/>
      <c r="AR440" s="128"/>
      <c r="AS440" s="128"/>
      <c r="AT440" s="128"/>
      <c r="AU440" s="128"/>
      <c r="AV440" s="128"/>
      <c r="AW440" s="128"/>
      <c r="AX440" s="128"/>
      <c r="AY440" s="128"/>
      <c r="AZ440" s="128"/>
      <c r="BA440" s="128"/>
      <c r="BB440" s="128"/>
      <c r="BC440" s="128"/>
      <c r="BD440" s="128"/>
      <c r="BE440" s="128"/>
      <c r="BF440" s="128"/>
      <c r="BG440" s="128"/>
      <c r="BH440" s="128"/>
      <c r="BI440" s="128"/>
      <c r="BJ440" s="128"/>
      <c r="BK440" s="128"/>
      <c r="BL440" s="128"/>
      <c r="BM440" s="128"/>
      <c r="BN440" s="128"/>
      <c r="BO440" s="128"/>
      <c r="BP440" s="128"/>
      <c r="BQ440" s="128"/>
      <c r="BR440" s="128"/>
      <c r="BS440" s="128"/>
      <c r="BT440" s="128"/>
      <c r="BU440" s="128"/>
      <c r="BV440" s="128"/>
      <c r="BW440" s="128"/>
      <c r="BX440" s="128"/>
      <c r="BY440" s="128"/>
      <c r="BZ440" s="128"/>
      <c r="CA440" s="128"/>
      <c r="CB440" s="128"/>
      <c r="CC440" s="128"/>
      <c r="CD440" s="128"/>
      <c r="CE440" s="128"/>
      <c r="CF440" s="128"/>
      <c r="CG440" s="128"/>
      <c r="CH440" s="128"/>
      <c r="CI440" s="128"/>
      <c r="CJ440" s="128"/>
      <c r="CK440" s="128"/>
      <c r="CL440" s="128"/>
      <c r="CM440" s="128"/>
      <c r="CN440" s="128"/>
      <c r="CO440" s="128"/>
      <c r="CP440" s="128"/>
      <c r="CQ440" s="128"/>
      <c r="CR440" s="128"/>
      <c r="CS440" s="128"/>
      <c r="CT440" s="128"/>
      <c r="CU440" s="128"/>
    </row>
    <row r="441" spans="1:99" ht="14.5" outlineLevel="1" thickBot="1">
      <c r="A441" s="128"/>
      <c r="B441" s="186"/>
      <c r="C441" s="337" t="str">
        <f t="shared" si="165"/>
        <v>Battery Inverter / Converter</v>
      </c>
      <c r="D441" s="338"/>
      <c r="E441" s="338"/>
      <c r="F441" s="346"/>
      <c r="G441" s="346"/>
      <c r="H441" s="150">
        <f t="shared" si="166"/>
        <v>0</v>
      </c>
      <c r="I441" s="150">
        <f t="shared" si="166"/>
        <v>0</v>
      </c>
      <c r="J441" s="150">
        <f t="shared" si="166"/>
        <v>0</v>
      </c>
      <c r="K441" s="150">
        <f t="shared" si="166"/>
        <v>0</v>
      </c>
      <c r="L441" s="150">
        <f t="shared" si="166"/>
        <v>0</v>
      </c>
      <c r="M441" s="150">
        <f t="shared" si="166"/>
        <v>0</v>
      </c>
      <c r="N441" s="150">
        <f t="shared" si="166"/>
        <v>0</v>
      </c>
      <c r="O441" s="150">
        <f t="shared" si="166"/>
        <v>0</v>
      </c>
      <c r="P441" s="150">
        <f t="shared" si="166"/>
        <v>0</v>
      </c>
      <c r="Q441" s="150">
        <f t="shared" si="166"/>
        <v>0</v>
      </c>
      <c r="R441" s="150">
        <f t="shared" si="166"/>
        <v>0</v>
      </c>
      <c r="S441" s="150">
        <f t="shared" si="166"/>
        <v>0</v>
      </c>
      <c r="T441" s="150">
        <f t="shared" si="166"/>
        <v>0</v>
      </c>
      <c r="U441" s="150">
        <f t="shared" si="166"/>
        <v>0</v>
      </c>
      <c r="V441" s="150">
        <f t="shared" si="166"/>
        <v>0</v>
      </c>
      <c r="W441" s="150">
        <f t="shared" si="166"/>
        <v>0</v>
      </c>
      <c r="X441" s="150">
        <f t="shared" si="166"/>
        <v>0</v>
      </c>
      <c r="Y441" s="150">
        <f t="shared" si="166"/>
        <v>0</v>
      </c>
      <c r="Z441" s="150">
        <f t="shared" si="166"/>
        <v>0</v>
      </c>
      <c r="AA441" s="150">
        <f t="shared" si="166"/>
        <v>0</v>
      </c>
      <c r="AB441" s="150">
        <f t="shared" si="166"/>
        <v>0</v>
      </c>
      <c r="AC441" s="150">
        <f t="shared" si="167"/>
        <v>0</v>
      </c>
      <c r="AD441" s="150">
        <f t="shared" si="167"/>
        <v>0</v>
      </c>
      <c r="AE441" s="150">
        <f t="shared" si="167"/>
        <v>0</v>
      </c>
      <c r="AF441" s="150">
        <f t="shared" si="167"/>
        <v>0</v>
      </c>
      <c r="AG441" s="150">
        <f t="shared" si="167"/>
        <v>0</v>
      </c>
      <c r="AH441" s="128"/>
      <c r="AI441" s="128"/>
      <c r="AJ441" s="128"/>
      <c r="AK441" s="128"/>
      <c r="AL441" s="128"/>
      <c r="AM441" s="128"/>
      <c r="AN441" s="128"/>
      <c r="AO441" s="128"/>
      <c r="AP441" s="128"/>
      <c r="AQ441" s="128"/>
      <c r="AR441" s="128"/>
      <c r="AS441" s="128"/>
      <c r="AT441" s="128"/>
      <c r="AU441" s="128"/>
      <c r="AV441" s="128"/>
      <c r="AW441" s="128"/>
      <c r="AX441" s="128"/>
      <c r="AY441" s="128"/>
      <c r="AZ441" s="128"/>
      <c r="BA441" s="128"/>
      <c r="BB441" s="128"/>
      <c r="BC441" s="128"/>
      <c r="BD441" s="128"/>
      <c r="BE441" s="128"/>
      <c r="BF441" s="128"/>
      <c r="BG441" s="128"/>
      <c r="BH441" s="128"/>
      <c r="BI441" s="128"/>
      <c r="BJ441" s="128"/>
      <c r="BK441" s="128"/>
      <c r="BL441" s="128"/>
      <c r="BM441" s="128"/>
      <c r="BN441" s="128"/>
      <c r="BO441" s="128"/>
      <c r="BP441" s="128"/>
      <c r="BQ441" s="128"/>
      <c r="BR441" s="128"/>
      <c r="BS441" s="128"/>
      <c r="BT441" s="128"/>
      <c r="BU441" s="128"/>
      <c r="BV441" s="128"/>
      <c r="BW441" s="128"/>
      <c r="BX441" s="128"/>
      <c r="BY441" s="128"/>
      <c r="BZ441" s="128"/>
      <c r="CA441" s="128"/>
      <c r="CB441" s="128"/>
      <c r="CC441" s="128"/>
      <c r="CD441" s="128"/>
      <c r="CE441" s="128"/>
      <c r="CF441" s="128"/>
      <c r="CG441" s="128"/>
      <c r="CH441" s="128"/>
      <c r="CI441" s="128"/>
      <c r="CJ441" s="128"/>
      <c r="CK441" s="128"/>
      <c r="CL441" s="128"/>
      <c r="CM441" s="128"/>
      <c r="CN441" s="128"/>
      <c r="CO441" s="128"/>
      <c r="CP441" s="128"/>
      <c r="CQ441" s="128"/>
      <c r="CR441" s="128"/>
      <c r="CS441" s="128"/>
      <c r="CT441" s="128"/>
      <c r="CU441" s="128"/>
    </row>
    <row r="442" spans="1:99" ht="14.5" outlineLevel="1" thickBot="1">
      <c r="A442" s="128"/>
      <c r="B442" s="186"/>
      <c r="C442" s="187" t="str">
        <f t="shared" si="165"/>
        <v>Diesel Genset (Optional)</v>
      </c>
      <c r="D442" s="205"/>
      <c r="E442" s="205"/>
      <c r="F442" s="339"/>
      <c r="G442" s="390"/>
      <c r="H442" s="150">
        <f t="shared" si="166"/>
        <v>0</v>
      </c>
      <c r="I442" s="150">
        <f t="shared" si="166"/>
        <v>0</v>
      </c>
      <c r="J442" s="150">
        <f t="shared" si="166"/>
        <v>0</v>
      </c>
      <c r="K442" s="150">
        <f t="shared" si="166"/>
        <v>0</v>
      </c>
      <c r="L442" s="150">
        <f t="shared" si="166"/>
        <v>0</v>
      </c>
      <c r="M442" s="150">
        <f t="shared" si="166"/>
        <v>0</v>
      </c>
      <c r="N442" s="150">
        <f t="shared" si="166"/>
        <v>0</v>
      </c>
      <c r="O442" s="150">
        <f t="shared" si="166"/>
        <v>0</v>
      </c>
      <c r="P442" s="150">
        <f t="shared" si="166"/>
        <v>0</v>
      </c>
      <c r="Q442" s="150">
        <f t="shared" si="166"/>
        <v>0</v>
      </c>
      <c r="R442" s="150">
        <f t="shared" si="166"/>
        <v>0</v>
      </c>
      <c r="S442" s="150">
        <f t="shared" si="166"/>
        <v>0</v>
      </c>
      <c r="T442" s="150">
        <f t="shared" si="166"/>
        <v>0</v>
      </c>
      <c r="U442" s="150">
        <f t="shared" si="166"/>
        <v>0</v>
      </c>
      <c r="V442" s="150">
        <f t="shared" si="166"/>
        <v>0</v>
      </c>
      <c r="W442" s="150">
        <f t="shared" si="166"/>
        <v>0</v>
      </c>
      <c r="X442" s="150">
        <f t="shared" si="166"/>
        <v>0</v>
      </c>
      <c r="Y442" s="150">
        <f t="shared" si="166"/>
        <v>0</v>
      </c>
      <c r="Z442" s="150">
        <f t="shared" si="166"/>
        <v>0</v>
      </c>
      <c r="AA442" s="150">
        <f t="shared" si="166"/>
        <v>0</v>
      </c>
      <c r="AB442" s="150">
        <f t="shared" si="166"/>
        <v>0</v>
      </c>
      <c r="AC442" s="150">
        <f t="shared" si="167"/>
        <v>0</v>
      </c>
      <c r="AD442" s="150">
        <f t="shared" si="167"/>
        <v>0</v>
      </c>
      <c r="AE442" s="150">
        <f t="shared" si="167"/>
        <v>0</v>
      </c>
      <c r="AF442" s="150">
        <f t="shared" si="167"/>
        <v>0</v>
      </c>
      <c r="AG442" s="150">
        <f t="shared" si="167"/>
        <v>0</v>
      </c>
      <c r="AH442" s="128"/>
      <c r="AI442" s="128"/>
      <c r="AJ442" s="128"/>
      <c r="AK442" s="128"/>
      <c r="AL442" s="128"/>
      <c r="AM442" s="128"/>
      <c r="AN442" s="128"/>
      <c r="AO442" s="128"/>
      <c r="AP442" s="128"/>
      <c r="AQ442" s="128"/>
      <c r="AR442" s="128"/>
      <c r="AS442" s="128"/>
      <c r="AT442" s="128"/>
      <c r="AU442" s="128"/>
      <c r="AV442" s="128"/>
      <c r="AW442" s="128"/>
      <c r="AX442" s="128"/>
      <c r="AY442" s="128"/>
      <c r="AZ442" s="128"/>
      <c r="BA442" s="128"/>
      <c r="BB442" s="128"/>
      <c r="BC442" s="128"/>
      <c r="BD442" s="128"/>
      <c r="BE442" s="128"/>
      <c r="BF442" s="128"/>
      <c r="BG442" s="128"/>
      <c r="BH442" s="128"/>
      <c r="BI442" s="128"/>
      <c r="BJ442" s="128"/>
      <c r="BK442" s="128"/>
      <c r="BL442" s="128"/>
      <c r="BM442" s="128"/>
      <c r="BN442" s="128"/>
      <c r="BO442" s="128"/>
      <c r="BP442" s="128"/>
      <c r="BQ442" s="128"/>
      <c r="BR442" s="128"/>
      <c r="BS442" s="128"/>
      <c r="BT442" s="128"/>
      <c r="BU442" s="128"/>
      <c r="BV442" s="128"/>
      <c r="BW442" s="128"/>
      <c r="BX442" s="128"/>
      <c r="BY442" s="128"/>
      <c r="BZ442" s="128"/>
      <c r="CA442" s="128"/>
      <c r="CB442" s="128"/>
      <c r="CC442" s="128"/>
      <c r="CD442" s="128"/>
      <c r="CE442" s="128"/>
      <c r="CF442" s="128"/>
      <c r="CG442" s="128"/>
      <c r="CH442" s="128"/>
      <c r="CI442" s="128"/>
      <c r="CJ442" s="128"/>
      <c r="CK442" s="128"/>
      <c r="CL442" s="128"/>
      <c r="CM442" s="128"/>
      <c r="CN442" s="128"/>
      <c r="CO442" s="128"/>
      <c r="CP442" s="128"/>
      <c r="CQ442" s="128"/>
      <c r="CR442" s="128"/>
      <c r="CS442" s="128"/>
      <c r="CT442" s="128"/>
      <c r="CU442" s="128"/>
    </row>
    <row r="443" spans="1:99" ht="14.5" outlineLevel="1" thickBot="1">
      <c r="A443" s="128"/>
      <c r="B443" s="186"/>
      <c r="C443" s="337" t="str">
        <f t="shared" si="165"/>
        <v>Mounting Structure</v>
      </c>
      <c r="D443" s="338"/>
      <c r="E443" s="338"/>
      <c r="F443" s="346"/>
      <c r="G443" s="346"/>
      <c r="H443" s="150">
        <f t="shared" si="166"/>
        <v>0</v>
      </c>
      <c r="I443" s="150">
        <f t="shared" si="166"/>
        <v>0</v>
      </c>
      <c r="J443" s="150">
        <f t="shared" si="166"/>
        <v>0</v>
      </c>
      <c r="K443" s="150">
        <f t="shared" si="166"/>
        <v>0</v>
      </c>
      <c r="L443" s="150">
        <f t="shared" si="166"/>
        <v>0</v>
      </c>
      <c r="M443" s="150">
        <f t="shared" si="166"/>
        <v>0</v>
      </c>
      <c r="N443" s="150">
        <f t="shared" si="166"/>
        <v>0</v>
      </c>
      <c r="O443" s="150">
        <f t="shared" si="166"/>
        <v>0</v>
      </c>
      <c r="P443" s="150">
        <f t="shared" si="166"/>
        <v>0</v>
      </c>
      <c r="Q443" s="150">
        <f t="shared" si="166"/>
        <v>0</v>
      </c>
      <c r="R443" s="150">
        <f t="shared" si="166"/>
        <v>0</v>
      </c>
      <c r="S443" s="150">
        <f t="shared" si="166"/>
        <v>0</v>
      </c>
      <c r="T443" s="150">
        <f t="shared" si="166"/>
        <v>0</v>
      </c>
      <c r="U443" s="150">
        <f t="shared" si="166"/>
        <v>0</v>
      </c>
      <c r="V443" s="150">
        <f t="shared" si="166"/>
        <v>0</v>
      </c>
      <c r="W443" s="150">
        <f t="shared" si="166"/>
        <v>0</v>
      </c>
      <c r="X443" s="150">
        <f t="shared" si="166"/>
        <v>0</v>
      </c>
      <c r="Y443" s="150">
        <f t="shared" si="166"/>
        <v>0</v>
      </c>
      <c r="Z443" s="150">
        <f t="shared" si="166"/>
        <v>0</v>
      </c>
      <c r="AA443" s="150">
        <f t="shared" si="166"/>
        <v>0</v>
      </c>
      <c r="AB443" s="150">
        <f t="shared" si="166"/>
        <v>0</v>
      </c>
      <c r="AC443" s="150">
        <f t="shared" si="167"/>
        <v>0</v>
      </c>
      <c r="AD443" s="150">
        <f t="shared" si="167"/>
        <v>0</v>
      </c>
      <c r="AE443" s="150">
        <f t="shared" si="167"/>
        <v>0</v>
      </c>
      <c r="AF443" s="150">
        <f t="shared" si="167"/>
        <v>0</v>
      </c>
      <c r="AG443" s="150">
        <f t="shared" si="167"/>
        <v>0</v>
      </c>
      <c r="AH443" s="128"/>
      <c r="AI443" s="128"/>
      <c r="AJ443" s="128"/>
      <c r="AK443" s="128"/>
      <c r="AL443" s="128"/>
      <c r="AM443" s="128"/>
      <c r="AN443" s="128"/>
      <c r="AO443" s="128"/>
      <c r="AP443" s="128"/>
      <c r="AQ443" s="128"/>
      <c r="AR443" s="128"/>
      <c r="AS443" s="128"/>
      <c r="AT443" s="128"/>
      <c r="AU443" s="128"/>
      <c r="AV443" s="128"/>
      <c r="AW443" s="128"/>
      <c r="AX443" s="128"/>
      <c r="AY443" s="128"/>
      <c r="AZ443" s="128"/>
      <c r="BA443" s="128"/>
      <c r="BB443" s="128"/>
      <c r="BC443" s="128"/>
      <c r="BD443" s="128"/>
      <c r="BE443" s="128"/>
      <c r="BF443" s="128"/>
      <c r="BG443" s="128"/>
      <c r="BH443" s="128"/>
      <c r="BI443" s="128"/>
      <c r="BJ443" s="128"/>
      <c r="BK443" s="128"/>
      <c r="BL443" s="128"/>
      <c r="BM443" s="128"/>
      <c r="BN443" s="128"/>
      <c r="BO443" s="128"/>
      <c r="BP443" s="128"/>
      <c r="BQ443" s="128"/>
      <c r="BR443" s="128"/>
      <c r="BS443" s="128"/>
      <c r="BT443" s="128"/>
      <c r="BU443" s="128"/>
      <c r="BV443" s="128"/>
      <c r="BW443" s="128"/>
      <c r="BX443" s="128"/>
      <c r="BY443" s="128"/>
      <c r="BZ443" s="128"/>
      <c r="CA443" s="128"/>
      <c r="CB443" s="128"/>
      <c r="CC443" s="128"/>
      <c r="CD443" s="128"/>
      <c r="CE443" s="128"/>
      <c r="CF443" s="128"/>
      <c r="CG443" s="128"/>
      <c r="CH443" s="128"/>
      <c r="CI443" s="128"/>
      <c r="CJ443" s="128"/>
      <c r="CK443" s="128"/>
      <c r="CL443" s="128"/>
      <c r="CM443" s="128"/>
      <c r="CN443" s="128"/>
      <c r="CO443" s="128"/>
      <c r="CP443" s="128"/>
      <c r="CQ443" s="128"/>
      <c r="CR443" s="128"/>
      <c r="CS443" s="128"/>
      <c r="CT443" s="128"/>
      <c r="CU443" s="128"/>
    </row>
    <row r="444" spans="1:99" ht="15" outlineLevel="1" thickTop="1" thickBot="1">
      <c r="A444" s="128"/>
      <c r="B444" s="292"/>
      <c r="C444" s="293" t="s">
        <v>433</v>
      </c>
      <c r="D444" s="294"/>
      <c r="E444" s="294"/>
      <c r="F444" s="375"/>
      <c r="G444" s="341"/>
      <c r="H444" s="271">
        <f t="shared" si="166"/>
        <v>0</v>
      </c>
      <c r="I444" s="271">
        <f t="shared" si="166"/>
        <v>0</v>
      </c>
      <c r="J444" s="271">
        <f t="shared" si="166"/>
        <v>0</v>
      </c>
      <c r="K444" s="271">
        <f t="shared" si="166"/>
        <v>0</v>
      </c>
      <c r="L444" s="271">
        <f t="shared" si="166"/>
        <v>0</v>
      </c>
      <c r="M444" s="271">
        <f t="shared" si="166"/>
        <v>0</v>
      </c>
      <c r="N444" s="271">
        <f t="shared" si="166"/>
        <v>0</v>
      </c>
      <c r="O444" s="271">
        <f t="shared" si="166"/>
        <v>0</v>
      </c>
      <c r="P444" s="271">
        <f t="shared" si="166"/>
        <v>0</v>
      </c>
      <c r="Q444" s="271">
        <f t="shared" si="166"/>
        <v>0</v>
      </c>
      <c r="R444" s="271">
        <f t="shared" si="166"/>
        <v>0</v>
      </c>
      <c r="S444" s="271">
        <f t="shared" si="166"/>
        <v>0</v>
      </c>
      <c r="T444" s="271">
        <f t="shared" si="166"/>
        <v>0</v>
      </c>
      <c r="U444" s="271">
        <f t="shared" si="166"/>
        <v>0</v>
      </c>
      <c r="V444" s="271">
        <f t="shared" si="166"/>
        <v>0</v>
      </c>
      <c r="W444" s="271">
        <f t="shared" si="166"/>
        <v>-6105.0792191634855</v>
      </c>
      <c r="X444" s="271">
        <f t="shared" si="166"/>
        <v>0</v>
      </c>
      <c r="Y444" s="271">
        <f t="shared" si="166"/>
        <v>0</v>
      </c>
      <c r="Z444" s="271">
        <f t="shared" si="166"/>
        <v>0</v>
      </c>
      <c r="AA444" s="271">
        <f t="shared" si="166"/>
        <v>0</v>
      </c>
      <c r="AB444" s="271">
        <f t="shared" si="166"/>
        <v>0</v>
      </c>
      <c r="AC444" s="271"/>
      <c r="AD444" s="271"/>
      <c r="AE444" s="271"/>
      <c r="AF444" s="271"/>
      <c r="AG444" s="271"/>
      <c r="AH444" s="128"/>
      <c r="AI444" s="128"/>
      <c r="AJ444" s="128"/>
      <c r="AK444" s="128"/>
      <c r="AL444" s="128"/>
      <c r="AM444" s="128"/>
      <c r="AN444" s="128"/>
      <c r="AO444" s="128"/>
      <c r="AP444" s="128"/>
      <c r="AQ444" s="128"/>
      <c r="AR444" s="128"/>
      <c r="AS444" s="128"/>
      <c r="AT444" s="128"/>
      <c r="AU444" s="128"/>
      <c r="AV444" s="128"/>
      <c r="AW444" s="128"/>
      <c r="AX444" s="128"/>
      <c r="AY444" s="128"/>
      <c r="AZ444" s="128"/>
      <c r="BA444" s="128"/>
      <c r="BB444" s="128"/>
      <c r="BC444" s="128"/>
      <c r="BD444" s="128"/>
      <c r="BE444" s="128"/>
      <c r="BF444" s="128"/>
      <c r="BG444" s="128"/>
      <c r="BH444" s="128"/>
      <c r="BI444" s="128"/>
      <c r="BJ444" s="128"/>
      <c r="BK444" s="128"/>
      <c r="BL444" s="128"/>
      <c r="BM444" s="128"/>
      <c r="BN444" s="128"/>
      <c r="BO444" s="128"/>
      <c r="BP444" s="128"/>
      <c r="BQ444" s="128"/>
      <c r="BR444" s="128"/>
      <c r="BS444" s="128"/>
      <c r="BT444" s="128"/>
      <c r="BU444" s="128"/>
      <c r="BV444" s="128"/>
      <c r="BW444" s="128"/>
      <c r="BX444" s="128"/>
      <c r="BY444" s="128"/>
      <c r="BZ444" s="128"/>
      <c r="CA444" s="128"/>
      <c r="CB444" s="128"/>
      <c r="CC444" s="128"/>
      <c r="CD444" s="128"/>
      <c r="CE444" s="128"/>
      <c r="CF444" s="128"/>
      <c r="CG444" s="128"/>
      <c r="CH444" s="128"/>
      <c r="CI444" s="128"/>
      <c r="CJ444" s="128"/>
      <c r="CK444" s="128"/>
      <c r="CL444" s="128"/>
      <c r="CM444" s="128"/>
      <c r="CN444" s="128"/>
      <c r="CO444" s="128"/>
      <c r="CP444" s="128"/>
      <c r="CQ444" s="128"/>
      <c r="CR444" s="128"/>
      <c r="CS444" s="128"/>
      <c r="CT444" s="128"/>
      <c r="CU444" s="128"/>
    </row>
    <row r="445" spans="1:99" ht="15" outlineLevel="1" thickTop="1" thickBot="1">
      <c r="F445" s="128"/>
      <c r="G445" s="128"/>
      <c r="H445" s="340"/>
      <c r="I445" s="340"/>
      <c r="J445" s="340"/>
      <c r="K445" s="340"/>
      <c r="L445" s="340"/>
      <c r="M445" s="340"/>
      <c r="N445" s="340"/>
      <c r="O445" s="340"/>
      <c r="P445" s="340"/>
      <c r="Q445" s="340"/>
      <c r="R445" s="340"/>
      <c r="S445" s="340"/>
      <c r="T445" s="340"/>
      <c r="U445" s="340"/>
      <c r="V445" s="340"/>
      <c r="W445" s="340"/>
      <c r="X445" s="340"/>
      <c r="Y445" s="340"/>
      <c r="Z445" s="340"/>
      <c r="AA445" s="340"/>
      <c r="AB445" s="340"/>
      <c r="AC445" s="340"/>
      <c r="AD445" s="340"/>
      <c r="AE445" s="340"/>
      <c r="AF445" s="340"/>
      <c r="AG445" s="340"/>
      <c r="AH445" s="128"/>
      <c r="AI445" s="128"/>
      <c r="AJ445" s="128"/>
      <c r="AK445" s="128"/>
      <c r="AL445" s="128"/>
      <c r="AM445" s="128"/>
      <c r="AN445" s="128"/>
      <c r="AO445" s="128"/>
      <c r="AP445" s="128"/>
      <c r="AQ445" s="128"/>
      <c r="AR445" s="128"/>
      <c r="AS445" s="128"/>
      <c r="AT445" s="128"/>
      <c r="AU445" s="128"/>
      <c r="AV445" s="128"/>
      <c r="AW445" s="128"/>
      <c r="AX445" s="128"/>
      <c r="AY445" s="128"/>
      <c r="AZ445" s="128"/>
      <c r="BA445" s="128"/>
      <c r="BB445" s="128"/>
      <c r="BC445" s="128"/>
      <c r="BD445" s="128"/>
      <c r="BE445" s="128"/>
      <c r="BF445" s="128"/>
      <c r="BG445" s="128"/>
      <c r="BH445" s="128"/>
      <c r="BI445" s="128"/>
      <c r="BJ445" s="128"/>
      <c r="BK445" s="128"/>
      <c r="BL445" s="128"/>
      <c r="BM445" s="128"/>
      <c r="BN445" s="128"/>
      <c r="BO445" s="128"/>
      <c r="BP445" s="128"/>
      <c r="BQ445" s="128"/>
      <c r="BR445" s="128"/>
      <c r="BS445" s="128"/>
      <c r="BT445" s="128"/>
      <c r="BU445" s="128"/>
      <c r="BV445" s="128"/>
      <c r="BW445" s="128"/>
      <c r="BX445" s="128"/>
      <c r="BY445" s="128"/>
      <c r="BZ445" s="128"/>
      <c r="CA445" s="128"/>
      <c r="CB445" s="128"/>
      <c r="CC445" s="128"/>
      <c r="CD445" s="128"/>
      <c r="CE445" s="128"/>
      <c r="CF445" s="128"/>
      <c r="CG445" s="128"/>
      <c r="CH445" s="128"/>
      <c r="CI445" s="128"/>
      <c r="CJ445" s="128"/>
      <c r="CK445" s="128"/>
      <c r="CL445" s="128"/>
      <c r="CM445" s="128"/>
      <c r="CN445" s="128"/>
      <c r="CO445" s="128"/>
      <c r="CP445" s="128"/>
      <c r="CQ445" s="128"/>
      <c r="CR445" s="128"/>
      <c r="CS445" s="128"/>
      <c r="CT445" s="128"/>
      <c r="CU445" s="128"/>
    </row>
    <row r="446" spans="1:99" ht="15" outlineLevel="1" thickTop="1" thickBot="1">
      <c r="B446" s="292"/>
      <c r="C446" s="293" t="s">
        <v>487</v>
      </c>
      <c r="D446" s="294"/>
      <c r="E446" s="294"/>
      <c r="F446" s="341"/>
      <c r="G446" s="341"/>
      <c r="H446" s="271">
        <f>H435+H444</f>
        <v>-62303.235714285714</v>
      </c>
      <c r="I446" s="271">
        <f>I444+I435</f>
        <v>0</v>
      </c>
      <c r="J446" s="271">
        <f t="shared" ref="J446:AG446" si="168">J444+J435</f>
        <v>0</v>
      </c>
      <c r="K446" s="271">
        <f t="shared" si="168"/>
        <v>0</v>
      </c>
      <c r="L446" s="271">
        <f t="shared" si="168"/>
        <v>0</v>
      </c>
      <c r="M446" s="271">
        <f t="shared" si="168"/>
        <v>0</v>
      </c>
      <c r="N446" s="271">
        <f t="shared" si="168"/>
        <v>0</v>
      </c>
      <c r="O446" s="271">
        <f t="shared" si="168"/>
        <v>0</v>
      </c>
      <c r="P446" s="271">
        <f t="shared" si="168"/>
        <v>0</v>
      </c>
      <c r="Q446" s="271">
        <f t="shared" si="168"/>
        <v>0</v>
      </c>
      <c r="R446" s="271">
        <f t="shared" si="168"/>
        <v>0</v>
      </c>
      <c r="S446" s="271">
        <f t="shared" si="168"/>
        <v>0</v>
      </c>
      <c r="T446" s="271">
        <f t="shared" si="168"/>
        <v>0</v>
      </c>
      <c r="U446" s="271">
        <f t="shared" si="168"/>
        <v>0</v>
      </c>
      <c r="V446" s="271">
        <f t="shared" si="168"/>
        <v>0</v>
      </c>
      <c r="W446" s="271">
        <f t="shared" si="168"/>
        <v>-6105.0792191634855</v>
      </c>
      <c r="X446" s="271">
        <f t="shared" si="168"/>
        <v>0</v>
      </c>
      <c r="Y446" s="271">
        <f t="shared" si="168"/>
        <v>0</v>
      </c>
      <c r="Z446" s="271">
        <f t="shared" si="168"/>
        <v>0</v>
      </c>
      <c r="AA446" s="271">
        <f t="shared" si="168"/>
        <v>0</v>
      </c>
      <c r="AB446" s="271">
        <f t="shared" si="168"/>
        <v>0</v>
      </c>
      <c r="AC446" s="271">
        <f t="shared" si="168"/>
        <v>0</v>
      </c>
      <c r="AD446" s="271">
        <f t="shared" si="168"/>
        <v>0</v>
      </c>
      <c r="AE446" s="271">
        <f t="shared" si="168"/>
        <v>0</v>
      </c>
      <c r="AF446" s="271">
        <f t="shared" si="168"/>
        <v>0</v>
      </c>
      <c r="AG446" s="271">
        <f t="shared" si="168"/>
        <v>0</v>
      </c>
      <c r="AH446" s="128"/>
      <c r="AI446" s="128"/>
      <c r="AJ446" s="128"/>
      <c r="AK446" s="128"/>
      <c r="AL446" s="128"/>
      <c r="AM446" s="128"/>
      <c r="AN446" s="128"/>
      <c r="AO446" s="128"/>
      <c r="AP446" s="128"/>
      <c r="AQ446" s="128"/>
      <c r="AR446" s="128"/>
      <c r="AS446" s="128"/>
      <c r="AT446" s="128"/>
      <c r="AU446" s="128"/>
      <c r="AV446" s="128"/>
      <c r="AW446" s="128"/>
      <c r="AX446" s="128"/>
      <c r="AY446" s="128"/>
      <c r="AZ446" s="128"/>
      <c r="BA446" s="128"/>
      <c r="BB446" s="128"/>
      <c r="BC446" s="128"/>
      <c r="BD446" s="128"/>
      <c r="BE446" s="128"/>
      <c r="BF446" s="128"/>
      <c r="BG446" s="128"/>
      <c r="BH446" s="128"/>
      <c r="BI446" s="128"/>
      <c r="BJ446" s="128"/>
      <c r="BK446" s="128"/>
      <c r="BL446" s="128"/>
      <c r="BM446" s="128"/>
      <c r="BN446" s="128"/>
      <c r="BO446" s="128"/>
      <c r="BP446" s="128"/>
      <c r="BQ446" s="128"/>
      <c r="BR446" s="128"/>
      <c r="BS446" s="128"/>
      <c r="BT446" s="128"/>
      <c r="BU446" s="128"/>
      <c r="BV446" s="128"/>
      <c r="BW446" s="128"/>
      <c r="BX446" s="128"/>
      <c r="BY446" s="128"/>
      <c r="BZ446" s="128"/>
      <c r="CA446" s="128"/>
      <c r="CB446" s="128"/>
      <c r="CC446" s="128"/>
      <c r="CD446" s="128"/>
      <c r="CE446" s="128"/>
      <c r="CF446" s="128"/>
      <c r="CG446" s="128"/>
      <c r="CH446" s="128"/>
      <c r="CI446" s="128"/>
      <c r="CJ446" s="128"/>
      <c r="CK446" s="128"/>
      <c r="CL446" s="128"/>
      <c r="CM446" s="128"/>
      <c r="CN446" s="128"/>
      <c r="CO446" s="128"/>
      <c r="CP446" s="128"/>
      <c r="CQ446" s="128"/>
      <c r="CR446" s="128"/>
      <c r="CS446" s="128"/>
      <c r="CT446" s="128"/>
      <c r="CU446" s="128"/>
    </row>
    <row r="447" spans="1:99" ht="15" outlineLevel="1" thickTop="1" thickBot="1">
      <c r="F447" s="128"/>
      <c r="G447" s="128"/>
      <c r="H447" s="340"/>
      <c r="I447" s="340"/>
      <c r="J447" s="340"/>
      <c r="K447" s="340"/>
      <c r="L447" s="340"/>
      <c r="M447" s="340"/>
      <c r="N447" s="340"/>
      <c r="O447" s="340"/>
      <c r="P447" s="340"/>
      <c r="Q447" s="340"/>
      <c r="R447" s="340"/>
      <c r="S447" s="340"/>
      <c r="T447" s="340"/>
      <c r="U447" s="340"/>
      <c r="V447" s="340"/>
      <c r="W447" s="340"/>
      <c r="X447" s="340"/>
      <c r="Y447" s="340"/>
      <c r="Z447" s="340"/>
      <c r="AA447" s="340"/>
      <c r="AB447" s="340"/>
      <c r="AC447" s="340"/>
      <c r="AD447" s="340"/>
      <c r="AE447" s="340"/>
      <c r="AF447" s="340"/>
      <c r="AG447" s="340"/>
      <c r="AH447" s="128"/>
      <c r="AI447" s="128"/>
      <c r="AJ447" s="128"/>
      <c r="AK447" s="128"/>
      <c r="AL447" s="128"/>
      <c r="AM447" s="128"/>
      <c r="AN447" s="128"/>
      <c r="AO447" s="128"/>
      <c r="AP447" s="128"/>
      <c r="AQ447" s="128"/>
      <c r="AR447" s="128"/>
      <c r="AS447" s="128"/>
      <c r="AT447" s="128"/>
      <c r="AU447" s="128"/>
      <c r="AV447" s="128"/>
      <c r="AW447" s="128"/>
      <c r="AX447" s="128"/>
      <c r="AY447" s="128"/>
      <c r="AZ447" s="128"/>
      <c r="BA447" s="128"/>
      <c r="BB447" s="128"/>
      <c r="BC447" s="128"/>
      <c r="BD447" s="128"/>
      <c r="BE447" s="128"/>
      <c r="BF447" s="128"/>
      <c r="BG447" s="128"/>
      <c r="BH447" s="128"/>
      <c r="BI447" s="128"/>
      <c r="BJ447" s="128"/>
      <c r="BK447" s="128"/>
      <c r="BL447" s="128"/>
      <c r="BM447" s="128"/>
      <c r="BN447" s="128"/>
      <c r="BO447" s="128"/>
      <c r="BP447" s="128"/>
      <c r="BQ447" s="128"/>
      <c r="BR447" s="128"/>
      <c r="BS447" s="128"/>
      <c r="BT447" s="128"/>
      <c r="BU447" s="128"/>
      <c r="BV447" s="128"/>
      <c r="BW447" s="128"/>
      <c r="BX447" s="128"/>
      <c r="BY447" s="128"/>
      <c r="BZ447" s="128"/>
      <c r="CA447" s="128"/>
      <c r="CB447" s="128"/>
      <c r="CC447" s="128"/>
      <c r="CD447" s="128"/>
      <c r="CE447" s="128"/>
      <c r="CF447" s="128"/>
      <c r="CG447" s="128"/>
      <c r="CH447" s="128"/>
      <c r="CI447" s="128"/>
      <c r="CJ447" s="128"/>
      <c r="CK447" s="128"/>
      <c r="CL447" s="128"/>
      <c r="CM447" s="128"/>
      <c r="CN447" s="128"/>
      <c r="CO447" s="128"/>
      <c r="CP447" s="128"/>
      <c r="CQ447" s="128"/>
      <c r="CR447" s="128"/>
      <c r="CS447" s="128"/>
      <c r="CT447" s="128"/>
      <c r="CU447" s="128"/>
    </row>
    <row r="448" spans="1:99" ht="15" outlineLevel="1" thickTop="1" thickBot="1">
      <c r="B448" s="292"/>
      <c r="C448" s="293" t="s">
        <v>488</v>
      </c>
      <c r="D448" s="294"/>
      <c r="E448" s="294"/>
      <c r="F448" s="341"/>
      <c r="G448" s="341"/>
      <c r="H448" s="271">
        <f>H430+H431+H434+H444</f>
        <v>-62303.235714285714</v>
      </c>
      <c r="I448" s="271">
        <f t="shared" ref="I448:AG448" si="169">I424+I444</f>
        <v>-1559.3967699805812</v>
      </c>
      <c r="J448" s="271">
        <f t="shared" ca="1" si="169"/>
        <v>-1156.4214162499984</v>
      </c>
      <c r="K448" s="271">
        <f t="shared" ca="1" si="169"/>
        <v>-685.16956925571185</v>
      </c>
      <c r="L448" s="271">
        <f t="shared" ca="1" si="169"/>
        <v>-137.22280651060146</v>
      </c>
      <c r="M448" s="271">
        <f t="shared" ca="1" si="169"/>
        <v>496.85304890628322</v>
      </c>
      <c r="N448" s="271">
        <f t="shared" ca="1" si="169"/>
        <v>1227.6299235347583</v>
      </c>
      <c r="O448" s="271">
        <f t="shared" ca="1" si="169"/>
        <v>1029.9426951363189</v>
      </c>
      <c r="P448" s="271">
        <f t="shared" ca="1" si="169"/>
        <v>829.63516113165088</v>
      </c>
      <c r="Q448" s="271">
        <f t="shared" ca="1" si="169"/>
        <v>626.64691477486349</v>
      </c>
      <c r="R448" s="271">
        <f t="shared" ca="1" si="169"/>
        <v>420.91638918842773</v>
      </c>
      <c r="S448" s="271">
        <f t="shared" ca="1" si="169"/>
        <v>212.38083387356664</v>
      </c>
      <c r="T448" s="271">
        <f t="shared" ca="1" si="169"/>
        <v>0.97629075101440321</v>
      </c>
      <c r="U448" s="271">
        <f t="shared" ca="1" si="169"/>
        <v>-213.3624302751773</v>
      </c>
      <c r="V448" s="271">
        <f t="shared" ca="1" si="169"/>
        <v>-430.7017762408318</v>
      </c>
      <c r="W448" s="271">
        <f t="shared" ca="1" si="169"/>
        <v>-6756.1886957051138</v>
      </c>
      <c r="X448" s="271">
        <f t="shared" ca="1" si="169"/>
        <v>-874.65456875728955</v>
      </c>
      <c r="Y448" s="271">
        <f t="shared" ca="1" si="169"/>
        <v>-1101.4074255050598</v>
      </c>
      <c r="Z448" s="271">
        <f t="shared" ca="1" si="169"/>
        <v>-1331.43978079555</v>
      </c>
      <c r="AA448" s="271">
        <f t="shared" ca="1" si="169"/>
        <v>-1564.8247579511669</v>
      </c>
      <c r="AB448" s="271">
        <f t="shared" ca="1" si="169"/>
        <v>-1801.6368975606581</v>
      </c>
      <c r="AC448" s="271">
        <f t="shared" ca="1" si="169"/>
        <v>-2041.9521860956372</v>
      </c>
      <c r="AD448" s="271">
        <f t="shared" ca="1" si="169"/>
        <v>-2285.8480850978121</v>
      </c>
      <c r="AE448" s="271">
        <f t="shared" ca="1" si="169"/>
        <v>-3536.540976266796</v>
      </c>
      <c r="AF448" s="271">
        <f t="shared" ca="1" si="169"/>
        <v>-3781.8177060575417</v>
      </c>
      <c r="AG448" s="271">
        <f t="shared" ca="1" si="169"/>
        <v>-4030.9526949825104</v>
      </c>
      <c r="AH448" s="128"/>
      <c r="AI448" s="128"/>
      <c r="AJ448" s="128"/>
      <c r="AK448" s="128"/>
      <c r="AL448" s="128"/>
      <c r="AM448" s="128"/>
      <c r="AN448" s="128"/>
      <c r="AO448" s="128"/>
      <c r="AP448" s="128"/>
      <c r="AQ448" s="128"/>
      <c r="AR448" s="128"/>
      <c r="AS448" s="128"/>
      <c r="AT448" s="128"/>
      <c r="AU448" s="128"/>
      <c r="AV448" s="128"/>
      <c r="AW448" s="128"/>
      <c r="AX448" s="128"/>
      <c r="AY448" s="128"/>
      <c r="AZ448" s="128"/>
      <c r="BA448" s="128"/>
      <c r="BB448" s="128"/>
      <c r="BC448" s="128"/>
      <c r="BD448" s="128"/>
      <c r="BE448" s="128"/>
      <c r="BF448" s="128"/>
      <c r="BG448" s="128"/>
      <c r="BH448" s="128"/>
      <c r="BI448" s="128"/>
      <c r="BJ448" s="128"/>
      <c r="BK448" s="128"/>
      <c r="BL448" s="128"/>
      <c r="BM448" s="128"/>
      <c r="BN448" s="128"/>
      <c r="BO448" s="128"/>
      <c r="BP448" s="128"/>
      <c r="BQ448" s="128"/>
      <c r="BR448" s="128"/>
      <c r="BS448" s="128"/>
      <c r="BT448" s="128"/>
      <c r="BU448" s="128"/>
      <c r="BV448" s="128"/>
      <c r="BW448" s="128"/>
      <c r="BX448" s="128"/>
      <c r="BY448" s="128"/>
      <c r="BZ448" s="128"/>
      <c r="CA448" s="128"/>
      <c r="CB448" s="128"/>
      <c r="CC448" s="128"/>
      <c r="CD448" s="128"/>
      <c r="CE448" s="128"/>
      <c r="CF448" s="128"/>
      <c r="CG448" s="128"/>
      <c r="CH448" s="128"/>
      <c r="CI448" s="128"/>
      <c r="CJ448" s="128"/>
      <c r="CK448" s="128"/>
      <c r="CL448" s="128"/>
      <c r="CM448" s="128"/>
      <c r="CN448" s="128"/>
      <c r="CO448" s="128"/>
      <c r="CP448" s="128"/>
      <c r="CQ448" s="128"/>
      <c r="CR448" s="128"/>
      <c r="CS448" s="128"/>
      <c r="CT448" s="128"/>
      <c r="CU448" s="128"/>
    </row>
    <row r="449" spans="2:99" ht="15" outlineLevel="1" thickTop="1" thickBot="1">
      <c r="H449" s="340"/>
      <c r="I449" s="340"/>
      <c r="J449" s="340"/>
      <c r="K449" s="340"/>
      <c r="L449" s="340"/>
      <c r="M449" s="340"/>
      <c r="N449" s="340"/>
      <c r="O449" s="340"/>
      <c r="P449" s="340"/>
      <c r="Q449" s="340"/>
      <c r="R449" s="340"/>
      <c r="S449" s="340"/>
      <c r="T449" s="340"/>
      <c r="U449" s="340"/>
      <c r="V449" s="340"/>
      <c r="W449" s="340"/>
      <c r="X449" s="340"/>
      <c r="Y449" s="340"/>
      <c r="Z449" s="340"/>
      <c r="AA449" s="340"/>
      <c r="AB449" s="340"/>
      <c r="AC449" s="340"/>
      <c r="AD449" s="340"/>
      <c r="AE449" s="340"/>
      <c r="AF449" s="340"/>
      <c r="AG449" s="340"/>
    </row>
    <row r="450" spans="2:99" ht="14.5" outlineLevel="1" thickBot="1">
      <c r="B450" s="132"/>
      <c r="C450" s="132" t="s">
        <v>489</v>
      </c>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c r="AD450" s="133"/>
      <c r="AE450" s="133"/>
      <c r="AF450" s="133"/>
      <c r="AG450" s="147"/>
      <c r="AH450" s="128"/>
      <c r="AI450" s="128"/>
      <c r="AJ450" s="128"/>
      <c r="AK450" s="128"/>
      <c r="AL450" s="128"/>
      <c r="AM450" s="128"/>
      <c r="AN450" s="128"/>
      <c r="AO450" s="128"/>
      <c r="AP450" s="128"/>
      <c r="AQ450" s="128"/>
      <c r="AR450" s="128"/>
      <c r="AS450" s="128"/>
      <c r="AT450" s="128"/>
      <c r="AU450" s="128"/>
      <c r="AV450" s="128"/>
      <c r="AW450" s="128"/>
      <c r="AX450" s="128"/>
      <c r="AY450" s="128"/>
      <c r="AZ450" s="128"/>
      <c r="BA450" s="128"/>
      <c r="BB450" s="128"/>
      <c r="BC450" s="128"/>
      <c r="BD450" s="128"/>
      <c r="BE450" s="128"/>
      <c r="BF450" s="128"/>
      <c r="BG450" s="128"/>
      <c r="BH450" s="128"/>
      <c r="BI450" s="128"/>
      <c r="BJ450" s="128"/>
      <c r="BK450" s="128"/>
      <c r="BL450" s="128"/>
      <c r="BM450" s="128"/>
      <c r="BN450" s="128"/>
      <c r="BO450" s="128"/>
      <c r="BP450" s="128"/>
      <c r="BQ450" s="128"/>
      <c r="BR450" s="128"/>
      <c r="BS450" s="128"/>
      <c r="BT450" s="128"/>
      <c r="BU450" s="128"/>
      <c r="BV450" s="128"/>
      <c r="BW450" s="128"/>
      <c r="BX450" s="128"/>
      <c r="BY450" s="128"/>
      <c r="BZ450" s="128"/>
      <c r="CA450" s="128"/>
      <c r="CB450" s="128"/>
      <c r="CC450" s="128"/>
      <c r="CD450" s="128"/>
      <c r="CE450" s="128"/>
      <c r="CF450" s="128"/>
      <c r="CG450" s="128"/>
      <c r="CH450" s="128"/>
      <c r="CI450" s="128"/>
      <c r="CJ450" s="128"/>
      <c r="CK450" s="128"/>
      <c r="CL450" s="128"/>
      <c r="CM450" s="128"/>
      <c r="CN450" s="128"/>
      <c r="CO450" s="128"/>
      <c r="CP450" s="128"/>
      <c r="CQ450" s="128"/>
      <c r="CR450" s="128"/>
      <c r="CS450" s="128"/>
      <c r="CT450" s="128"/>
      <c r="CU450" s="128"/>
    </row>
    <row r="451" spans="2:99" ht="14.5" thickBot="1">
      <c r="B451" s="186"/>
      <c r="C451" s="337" t="s">
        <v>490</v>
      </c>
      <c r="D451" s="338"/>
      <c r="E451" s="338"/>
      <c r="F451" s="346"/>
      <c r="G451" s="346"/>
      <c r="H451" s="150">
        <f>H155</f>
        <v>0</v>
      </c>
      <c r="I451" s="150"/>
      <c r="J451" s="150"/>
      <c r="K451" s="150"/>
      <c r="L451" s="150"/>
      <c r="M451" s="150"/>
      <c r="N451" s="150"/>
      <c r="O451" s="150"/>
      <c r="P451" s="150"/>
      <c r="Q451" s="150"/>
      <c r="R451" s="150"/>
      <c r="S451" s="150"/>
      <c r="T451" s="150"/>
      <c r="U451" s="150"/>
      <c r="V451" s="150"/>
      <c r="W451" s="150"/>
      <c r="X451" s="150"/>
      <c r="Y451" s="150"/>
      <c r="Z451" s="150"/>
      <c r="AA451" s="150"/>
      <c r="AB451" s="150"/>
      <c r="AC451" s="150"/>
      <c r="AD451" s="150"/>
      <c r="AE451" s="150"/>
      <c r="AF451" s="150"/>
      <c r="AG451" s="150"/>
      <c r="AH451" s="128"/>
      <c r="AI451" s="128"/>
      <c r="AJ451" s="128"/>
      <c r="AK451" s="128"/>
      <c r="AL451" s="128"/>
      <c r="AM451" s="128"/>
      <c r="AN451" s="128"/>
      <c r="AO451" s="128"/>
      <c r="AP451" s="128"/>
      <c r="AQ451" s="128"/>
      <c r="AR451" s="128"/>
      <c r="AS451" s="128"/>
      <c r="AT451" s="128"/>
      <c r="AU451" s="128"/>
      <c r="AV451" s="128"/>
      <c r="AW451" s="128"/>
      <c r="AX451" s="128"/>
      <c r="AY451" s="128"/>
      <c r="AZ451" s="128"/>
      <c r="BA451" s="128"/>
      <c r="BB451" s="128"/>
      <c r="BC451" s="128"/>
      <c r="BD451" s="128"/>
      <c r="BE451" s="128"/>
      <c r="BF451" s="128"/>
      <c r="BG451" s="128"/>
      <c r="BH451" s="128"/>
      <c r="BI451" s="128"/>
      <c r="BJ451" s="128"/>
      <c r="BK451" s="128"/>
      <c r="BL451" s="128"/>
      <c r="BM451" s="128"/>
      <c r="BN451" s="128"/>
      <c r="BO451" s="128"/>
      <c r="BP451" s="128"/>
      <c r="BQ451" s="128"/>
      <c r="BR451" s="128"/>
      <c r="BS451" s="128"/>
      <c r="BT451" s="128"/>
      <c r="BU451" s="128"/>
      <c r="BV451" s="128"/>
      <c r="BW451" s="128"/>
      <c r="BX451" s="128"/>
      <c r="BY451" s="128"/>
      <c r="BZ451" s="128"/>
      <c r="CA451" s="128"/>
      <c r="CB451" s="128"/>
      <c r="CC451" s="128"/>
      <c r="CD451" s="128"/>
      <c r="CE451" s="128"/>
      <c r="CF451" s="128"/>
      <c r="CG451" s="128"/>
      <c r="CH451" s="128"/>
      <c r="CI451" s="128"/>
      <c r="CJ451" s="128"/>
      <c r="CK451" s="128"/>
      <c r="CL451" s="128"/>
      <c r="CM451" s="128"/>
      <c r="CN451" s="128"/>
      <c r="CO451" s="128"/>
      <c r="CP451" s="128"/>
      <c r="CQ451" s="128"/>
      <c r="CR451" s="128"/>
      <c r="CS451" s="128"/>
      <c r="CT451" s="128"/>
      <c r="CU451" s="128"/>
    </row>
    <row r="452" spans="2:99" ht="14.5" outlineLevel="1" thickBot="1">
      <c r="B452" s="186"/>
      <c r="C452" s="337" t="s">
        <v>491</v>
      </c>
      <c r="D452" s="338"/>
      <c r="E452" s="338"/>
      <c r="F452" s="346"/>
      <c r="G452" s="346"/>
      <c r="H452" s="391">
        <f t="shared" ref="H452:AG452" si="170">-H391</f>
        <v>0</v>
      </c>
      <c r="I452" s="391">
        <f t="shared" ca="1" si="170"/>
        <v>0</v>
      </c>
      <c r="J452" s="391">
        <f t="shared" ca="1" si="170"/>
        <v>0</v>
      </c>
      <c r="K452" s="391">
        <f t="shared" ca="1" si="170"/>
        <v>0</v>
      </c>
      <c r="L452" s="391">
        <f t="shared" ca="1" si="170"/>
        <v>0</v>
      </c>
      <c r="M452" s="391">
        <f t="shared" ca="1" si="170"/>
        <v>0</v>
      </c>
      <c r="N452" s="391">
        <f t="shared" ca="1" si="170"/>
        <v>0</v>
      </c>
      <c r="O452" s="391">
        <f t="shared" ca="1" si="170"/>
        <v>0</v>
      </c>
      <c r="P452" s="391">
        <f t="shared" ca="1" si="170"/>
        <v>0</v>
      </c>
      <c r="Q452" s="391">
        <f t="shared" ca="1" si="170"/>
        <v>0</v>
      </c>
      <c r="R452" s="391">
        <f t="shared" ca="1" si="170"/>
        <v>0</v>
      </c>
      <c r="S452" s="391">
        <f t="shared" ca="1" si="170"/>
        <v>0</v>
      </c>
      <c r="T452" s="391">
        <f t="shared" ca="1" si="170"/>
        <v>0</v>
      </c>
      <c r="U452" s="391">
        <f t="shared" ca="1" si="170"/>
        <v>0</v>
      </c>
      <c r="V452" s="391">
        <f t="shared" ca="1" si="170"/>
        <v>0</v>
      </c>
      <c r="W452" s="391">
        <f t="shared" ca="1" si="170"/>
        <v>0</v>
      </c>
      <c r="X452" s="391">
        <f t="shared" ca="1" si="170"/>
        <v>0</v>
      </c>
      <c r="Y452" s="391">
        <f t="shared" ca="1" si="170"/>
        <v>0</v>
      </c>
      <c r="Z452" s="391">
        <f t="shared" ca="1" si="170"/>
        <v>0</v>
      </c>
      <c r="AA452" s="391">
        <f t="shared" ca="1" si="170"/>
        <v>0</v>
      </c>
      <c r="AB452" s="391">
        <f t="shared" ca="1" si="170"/>
        <v>0</v>
      </c>
      <c r="AC452" s="391">
        <f t="shared" ca="1" si="170"/>
        <v>0</v>
      </c>
      <c r="AD452" s="391">
        <f t="shared" ca="1" si="170"/>
        <v>0</v>
      </c>
      <c r="AE452" s="391">
        <f t="shared" ca="1" si="170"/>
        <v>0</v>
      </c>
      <c r="AF452" s="391">
        <f t="shared" ca="1" si="170"/>
        <v>0</v>
      </c>
      <c r="AG452" s="391">
        <f t="shared" ca="1" si="170"/>
        <v>0</v>
      </c>
      <c r="AH452" s="128"/>
      <c r="AI452" s="128"/>
      <c r="AJ452" s="128"/>
      <c r="AK452" s="128"/>
      <c r="AL452" s="128"/>
      <c r="AM452" s="128"/>
      <c r="AN452" s="128"/>
      <c r="AO452" s="128"/>
      <c r="AP452" s="128"/>
      <c r="AQ452" s="128"/>
      <c r="AR452" s="128"/>
      <c r="AS452" s="128"/>
      <c r="AT452" s="128"/>
      <c r="AU452" s="128"/>
      <c r="AV452" s="128"/>
      <c r="AW452" s="128"/>
      <c r="AX452" s="128"/>
      <c r="AY452" s="128"/>
      <c r="AZ452" s="128"/>
      <c r="BA452" s="128"/>
      <c r="BB452" s="128"/>
      <c r="BC452" s="128"/>
      <c r="BD452" s="128"/>
      <c r="BE452" s="128"/>
      <c r="BF452" s="128"/>
      <c r="BG452" s="128"/>
      <c r="BH452" s="128"/>
      <c r="BI452" s="128"/>
      <c r="BJ452" s="128"/>
      <c r="BK452" s="128"/>
      <c r="BL452" s="128"/>
      <c r="BM452" s="128"/>
      <c r="BN452" s="128"/>
      <c r="BO452" s="128"/>
      <c r="BP452" s="128"/>
      <c r="BQ452" s="128"/>
      <c r="BR452" s="128"/>
      <c r="BS452" s="128"/>
      <c r="BT452" s="128"/>
      <c r="BU452" s="128"/>
      <c r="BV452" s="128"/>
      <c r="BW452" s="128"/>
      <c r="BX452" s="128"/>
      <c r="BY452" s="128"/>
      <c r="BZ452" s="128"/>
      <c r="CA452" s="128"/>
      <c r="CB452" s="128"/>
      <c r="CC452" s="128"/>
      <c r="CD452" s="128"/>
      <c r="CE452" s="128"/>
      <c r="CF452" s="128"/>
      <c r="CG452" s="128"/>
      <c r="CH452" s="128"/>
      <c r="CI452" s="128"/>
      <c r="CJ452" s="128"/>
      <c r="CK452" s="128"/>
      <c r="CL452" s="128"/>
      <c r="CM452" s="128"/>
      <c r="CN452" s="128"/>
      <c r="CO452" s="128"/>
      <c r="CP452" s="128"/>
      <c r="CQ452" s="128"/>
      <c r="CR452" s="128"/>
      <c r="CS452" s="128"/>
      <c r="CT452" s="128"/>
      <c r="CU452" s="128"/>
    </row>
    <row r="453" spans="2:99" ht="14.5" outlineLevel="1" thickBot="1">
      <c r="B453" s="186"/>
      <c r="C453" s="337" t="s">
        <v>492</v>
      </c>
      <c r="D453" s="338"/>
      <c r="E453" s="338"/>
      <c r="F453" s="346"/>
      <c r="G453" s="346"/>
      <c r="H453" s="360">
        <f>H156</f>
        <v>31151.617857142857</v>
      </c>
      <c r="I453" s="360"/>
      <c r="J453" s="360"/>
      <c r="K453" s="360"/>
      <c r="L453" s="360"/>
      <c r="M453" s="360"/>
      <c r="N453" s="360"/>
      <c r="O453" s="360"/>
      <c r="P453" s="360"/>
      <c r="Q453" s="360"/>
      <c r="R453" s="360"/>
      <c r="S453" s="360"/>
      <c r="T453" s="360"/>
      <c r="U453" s="360"/>
      <c r="V453" s="360"/>
      <c r="W453" s="360"/>
      <c r="X453" s="360"/>
      <c r="Y453" s="360"/>
      <c r="Z453" s="360"/>
      <c r="AA453" s="360"/>
      <c r="AB453" s="360"/>
      <c r="AC453" s="360"/>
      <c r="AD453" s="360"/>
      <c r="AE453" s="360"/>
      <c r="AF453" s="360"/>
      <c r="AG453" s="360"/>
      <c r="AH453" s="128"/>
      <c r="AI453" s="128"/>
      <c r="AJ453" s="128"/>
      <c r="AK453" s="128"/>
      <c r="AL453" s="128"/>
      <c r="AM453" s="128"/>
      <c r="AN453" s="128"/>
      <c r="AO453" s="128"/>
      <c r="AP453" s="128"/>
      <c r="AQ453" s="128"/>
      <c r="AR453" s="128"/>
      <c r="AS453" s="128"/>
      <c r="AT453" s="128"/>
      <c r="AU453" s="128"/>
      <c r="AV453" s="128"/>
      <c r="AW453" s="128"/>
      <c r="AX453" s="128"/>
      <c r="AY453" s="128"/>
      <c r="AZ453" s="128"/>
      <c r="BA453" s="128"/>
      <c r="BB453" s="128"/>
      <c r="BC453" s="128"/>
      <c r="BD453" s="128"/>
      <c r="BE453" s="128"/>
      <c r="BF453" s="128"/>
      <c r="BG453" s="128"/>
      <c r="BH453" s="128"/>
      <c r="BI453" s="128"/>
      <c r="BJ453" s="128"/>
      <c r="BK453" s="128"/>
      <c r="BL453" s="128"/>
      <c r="BM453" s="128"/>
      <c r="BN453" s="128"/>
      <c r="BO453" s="128"/>
      <c r="BP453" s="128"/>
      <c r="BQ453" s="128"/>
      <c r="BR453" s="128"/>
      <c r="BS453" s="128"/>
      <c r="BT453" s="128"/>
      <c r="BU453" s="128"/>
      <c r="BV453" s="128"/>
      <c r="BW453" s="128"/>
      <c r="BX453" s="128"/>
      <c r="BY453" s="128"/>
      <c r="BZ453" s="128"/>
      <c r="CA453" s="128"/>
      <c r="CB453" s="128"/>
      <c r="CC453" s="128"/>
      <c r="CD453" s="128"/>
      <c r="CE453" s="128"/>
      <c r="CF453" s="128"/>
      <c r="CG453" s="128"/>
      <c r="CH453" s="128"/>
      <c r="CI453" s="128"/>
      <c r="CJ453" s="128"/>
      <c r="CK453" s="128"/>
      <c r="CL453" s="128"/>
      <c r="CM453" s="128"/>
      <c r="CN453" s="128"/>
      <c r="CO453" s="128"/>
      <c r="CP453" s="128"/>
      <c r="CQ453" s="128"/>
      <c r="CR453" s="128"/>
      <c r="CS453" s="128"/>
      <c r="CT453" s="128"/>
      <c r="CU453" s="128"/>
    </row>
    <row r="454" spans="2:99" ht="14.5" outlineLevel="1" thickBot="1">
      <c r="B454" s="186"/>
      <c r="C454" s="337" t="s">
        <v>493</v>
      </c>
      <c r="D454" s="338"/>
      <c r="E454" s="338"/>
      <c r="F454" s="346"/>
      <c r="G454" s="346"/>
      <c r="H454" s="150">
        <f t="shared" ref="H454:AB454" si="171">-H397</f>
        <v>0</v>
      </c>
      <c r="I454" s="150">
        <f t="shared" ca="1" si="171"/>
        <v>-4903.5678164228502</v>
      </c>
      <c r="J454" s="150">
        <f t="shared" ca="1" si="171"/>
        <v>-5491.9959543935911</v>
      </c>
      <c r="K454" s="150">
        <f t="shared" ca="1" si="171"/>
        <v>-6151.0354689208225</v>
      </c>
      <c r="L454" s="150">
        <f t="shared" ca="1" si="171"/>
        <v>-6889.1597251913208</v>
      </c>
      <c r="M454" s="150">
        <f t="shared" ca="1" si="171"/>
        <v>-7715.8588922142799</v>
      </c>
      <c r="N454" s="150">
        <f t="shared" ca="1" si="171"/>
        <v>0</v>
      </c>
      <c r="O454" s="150">
        <f t="shared" ca="1" si="171"/>
        <v>0</v>
      </c>
      <c r="P454" s="150">
        <f t="shared" ca="1" si="171"/>
        <v>0</v>
      </c>
      <c r="Q454" s="150">
        <f t="shared" ca="1" si="171"/>
        <v>0</v>
      </c>
      <c r="R454" s="150">
        <f t="shared" ca="1" si="171"/>
        <v>0</v>
      </c>
      <c r="S454" s="150">
        <f t="shared" ca="1" si="171"/>
        <v>0</v>
      </c>
      <c r="T454" s="150">
        <f t="shared" ca="1" si="171"/>
        <v>0</v>
      </c>
      <c r="U454" s="150">
        <f t="shared" ca="1" si="171"/>
        <v>0</v>
      </c>
      <c r="V454" s="150">
        <f t="shared" ca="1" si="171"/>
        <v>0</v>
      </c>
      <c r="W454" s="150">
        <f t="shared" ca="1" si="171"/>
        <v>0</v>
      </c>
      <c r="X454" s="150">
        <f t="shared" ca="1" si="171"/>
        <v>0</v>
      </c>
      <c r="Y454" s="150">
        <f t="shared" ca="1" si="171"/>
        <v>0</v>
      </c>
      <c r="Z454" s="150">
        <f t="shared" ca="1" si="171"/>
        <v>0</v>
      </c>
      <c r="AA454" s="150">
        <f t="shared" ca="1" si="171"/>
        <v>0</v>
      </c>
      <c r="AB454" s="150">
        <f t="shared" ca="1" si="171"/>
        <v>0</v>
      </c>
      <c r="AC454" s="150">
        <f>AC337</f>
        <v>0</v>
      </c>
      <c r="AD454" s="150">
        <f>AD337</f>
        <v>0</v>
      </c>
      <c r="AE454" s="150">
        <f>AE337</f>
        <v>0</v>
      </c>
      <c r="AF454" s="150">
        <f>AF337</f>
        <v>0</v>
      </c>
      <c r="AG454" s="150">
        <f>AG337</f>
        <v>0</v>
      </c>
      <c r="AH454" s="128"/>
      <c r="AI454" s="128"/>
      <c r="AJ454" s="128"/>
      <c r="AK454" s="128"/>
      <c r="AL454" s="128"/>
      <c r="AM454" s="128"/>
      <c r="AN454" s="128"/>
      <c r="AO454" s="128"/>
      <c r="AP454" s="128"/>
      <c r="AQ454" s="128"/>
      <c r="AR454" s="128"/>
      <c r="AS454" s="128"/>
      <c r="AT454" s="128"/>
      <c r="AU454" s="128"/>
      <c r="AV454" s="128"/>
      <c r="AW454" s="128"/>
      <c r="AX454" s="128"/>
      <c r="AY454" s="128"/>
      <c r="AZ454" s="128"/>
      <c r="BA454" s="128"/>
      <c r="BB454" s="128"/>
      <c r="BC454" s="128"/>
      <c r="BD454" s="128"/>
      <c r="BE454" s="128"/>
      <c r="BF454" s="128"/>
      <c r="BG454" s="128"/>
      <c r="BH454" s="128"/>
      <c r="BI454" s="128"/>
      <c r="BJ454" s="128"/>
      <c r="BK454" s="128"/>
      <c r="BL454" s="128"/>
      <c r="BM454" s="128"/>
      <c r="BN454" s="128"/>
      <c r="BO454" s="128"/>
      <c r="BP454" s="128"/>
      <c r="BQ454" s="128"/>
      <c r="BR454" s="128"/>
      <c r="BS454" s="128"/>
      <c r="BT454" s="128"/>
      <c r="BU454" s="128"/>
      <c r="BV454" s="128"/>
      <c r="BW454" s="128"/>
      <c r="BX454" s="128"/>
      <c r="BY454" s="128"/>
      <c r="BZ454" s="128"/>
      <c r="CA454" s="128"/>
      <c r="CB454" s="128"/>
      <c r="CC454" s="128"/>
      <c r="CD454" s="128"/>
      <c r="CE454" s="128"/>
      <c r="CF454" s="128"/>
      <c r="CG454" s="128"/>
      <c r="CH454" s="128"/>
      <c r="CI454" s="128"/>
      <c r="CJ454" s="128"/>
      <c r="CK454" s="128"/>
      <c r="CL454" s="128"/>
      <c r="CM454" s="128"/>
      <c r="CN454" s="128"/>
      <c r="CO454" s="128"/>
      <c r="CP454" s="128"/>
      <c r="CQ454" s="128"/>
      <c r="CR454" s="128"/>
      <c r="CS454" s="128"/>
      <c r="CT454" s="128"/>
      <c r="CU454" s="128"/>
    </row>
    <row r="455" spans="2:99" ht="15" outlineLevel="1" thickTop="1" thickBot="1">
      <c r="B455" s="292"/>
      <c r="C455" s="293" t="s">
        <v>494</v>
      </c>
      <c r="D455" s="294"/>
      <c r="E455" s="294"/>
      <c r="F455" s="375"/>
      <c r="G455" s="341"/>
      <c r="H455" s="271">
        <f>SUM(H451:H454)</f>
        <v>31151.617857142857</v>
      </c>
      <c r="I455" s="271">
        <f ca="1">SUM(I451:I454)</f>
        <v>-4903.5678164228502</v>
      </c>
      <c r="J455" s="271">
        <f t="shared" ref="J455:AG455" ca="1" si="172">SUM(J451:J454)</f>
        <v>-5491.9959543935911</v>
      </c>
      <c r="K455" s="271">
        <f t="shared" ca="1" si="172"/>
        <v>-6151.0354689208225</v>
      </c>
      <c r="L455" s="271">
        <f t="shared" ca="1" si="172"/>
        <v>-6889.1597251913208</v>
      </c>
      <c r="M455" s="271">
        <f t="shared" ca="1" si="172"/>
        <v>-7715.8588922142799</v>
      </c>
      <c r="N455" s="271">
        <f t="shared" ca="1" si="172"/>
        <v>0</v>
      </c>
      <c r="O455" s="271">
        <f t="shared" ca="1" si="172"/>
        <v>0</v>
      </c>
      <c r="P455" s="271">
        <f t="shared" ca="1" si="172"/>
        <v>0</v>
      </c>
      <c r="Q455" s="271">
        <f t="shared" ca="1" si="172"/>
        <v>0</v>
      </c>
      <c r="R455" s="271">
        <f t="shared" ca="1" si="172"/>
        <v>0</v>
      </c>
      <c r="S455" s="271">
        <f t="shared" ca="1" si="172"/>
        <v>0</v>
      </c>
      <c r="T455" s="271">
        <f t="shared" ca="1" si="172"/>
        <v>0</v>
      </c>
      <c r="U455" s="271">
        <f t="shared" ca="1" si="172"/>
        <v>0</v>
      </c>
      <c r="V455" s="271">
        <f t="shared" ca="1" si="172"/>
        <v>0</v>
      </c>
      <c r="W455" s="271">
        <f t="shared" ca="1" si="172"/>
        <v>0</v>
      </c>
      <c r="X455" s="271">
        <f t="shared" ca="1" si="172"/>
        <v>0</v>
      </c>
      <c r="Y455" s="271">
        <f t="shared" ca="1" si="172"/>
        <v>0</v>
      </c>
      <c r="Z455" s="271">
        <f t="shared" ca="1" si="172"/>
        <v>0</v>
      </c>
      <c r="AA455" s="271">
        <f t="shared" ca="1" si="172"/>
        <v>0</v>
      </c>
      <c r="AB455" s="271">
        <f t="shared" ca="1" si="172"/>
        <v>0</v>
      </c>
      <c r="AC455" s="271">
        <f t="shared" ca="1" si="172"/>
        <v>0</v>
      </c>
      <c r="AD455" s="271">
        <f t="shared" ca="1" si="172"/>
        <v>0</v>
      </c>
      <c r="AE455" s="271">
        <f t="shared" ca="1" si="172"/>
        <v>0</v>
      </c>
      <c r="AF455" s="271">
        <f t="shared" ca="1" si="172"/>
        <v>0</v>
      </c>
      <c r="AG455" s="271">
        <f t="shared" ca="1" si="172"/>
        <v>0</v>
      </c>
      <c r="AH455" s="128"/>
      <c r="AI455" s="128"/>
      <c r="AJ455" s="128"/>
      <c r="AK455" s="128"/>
      <c r="AL455" s="128"/>
      <c r="AM455" s="128"/>
      <c r="AN455" s="128"/>
      <c r="AO455" s="128"/>
      <c r="AP455" s="128"/>
      <c r="AQ455" s="128"/>
      <c r="AR455" s="128"/>
      <c r="AS455" s="128"/>
      <c r="AT455" s="128"/>
      <c r="AU455" s="128"/>
      <c r="AV455" s="128"/>
      <c r="AW455" s="128"/>
      <c r="AX455" s="128"/>
      <c r="AY455" s="128"/>
      <c r="AZ455" s="128"/>
      <c r="BA455" s="128"/>
      <c r="BB455" s="128"/>
      <c r="BC455" s="128"/>
      <c r="BD455" s="128"/>
      <c r="BE455" s="128"/>
      <c r="BF455" s="128"/>
      <c r="BG455" s="128"/>
      <c r="BH455" s="128"/>
      <c r="BI455" s="128"/>
      <c r="BJ455" s="128"/>
      <c r="BK455" s="128"/>
      <c r="BL455" s="128"/>
      <c r="BM455" s="128"/>
      <c r="BN455" s="128"/>
      <c r="BO455" s="128"/>
      <c r="BP455" s="128"/>
      <c r="BQ455" s="128"/>
      <c r="BR455" s="128"/>
      <c r="BS455" s="128"/>
      <c r="BT455" s="128"/>
      <c r="BU455" s="128"/>
      <c r="BV455" s="128"/>
      <c r="BW455" s="128"/>
      <c r="BX455" s="128"/>
      <c r="BY455" s="128"/>
      <c r="BZ455" s="128"/>
      <c r="CA455" s="128"/>
      <c r="CB455" s="128"/>
      <c r="CC455" s="128"/>
      <c r="CD455" s="128"/>
      <c r="CE455" s="128"/>
      <c r="CF455" s="128"/>
      <c r="CG455" s="128"/>
      <c r="CH455" s="128"/>
      <c r="CI455" s="128"/>
      <c r="CJ455" s="128"/>
      <c r="CK455" s="128"/>
      <c r="CL455" s="128"/>
      <c r="CM455" s="128"/>
      <c r="CN455" s="128"/>
      <c r="CO455" s="128"/>
      <c r="CP455" s="128"/>
      <c r="CQ455" s="128"/>
      <c r="CR455" s="128"/>
      <c r="CS455" s="128"/>
      <c r="CT455" s="128"/>
      <c r="CU455" s="128"/>
    </row>
    <row r="456" spans="2:99" ht="15" outlineLevel="1" thickTop="1" thickBot="1">
      <c r="F456" s="128"/>
      <c r="G456" s="128"/>
      <c r="H456" s="340"/>
      <c r="I456" s="340"/>
      <c r="J456" s="340"/>
      <c r="K456" s="340"/>
      <c r="L456" s="340"/>
      <c r="M456" s="340"/>
      <c r="N456" s="340"/>
      <c r="O456" s="340"/>
      <c r="P456" s="340"/>
      <c r="Q456" s="340"/>
      <c r="R456" s="340"/>
      <c r="S456" s="340"/>
      <c r="T456" s="340"/>
      <c r="U456" s="340"/>
      <c r="V456" s="340"/>
      <c r="W456" s="340"/>
      <c r="X456" s="340"/>
      <c r="Y456" s="340"/>
      <c r="Z456" s="340"/>
      <c r="AA456" s="340"/>
      <c r="AB456" s="340"/>
      <c r="AC456" s="340"/>
      <c r="AD456" s="340"/>
      <c r="AE456" s="340"/>
      <c r="AF456" s="340"/>
      <c r="AG456" s="340"/>
      <c r="AH456" s="128"/>
      <c r="AI456" s="128"/>
      <c r="AJ456" s="128"/>
      <c r="AK456" s="128"/>
      <c r="AL456" s="128"/>
      <c r="AM456" s="128"/>
      <c r="AN456" s="128"/>
      <c r="AO456" s="128"/>
      <c r="AP456" s="128"/>
      <c r="AQ456" s="128"/>
      <c r="AR456" s="128"/>
      <c r="AS456" s="128"/>
      <c r="AT456" s="128"/>
      <c r="AU456" s="128"/>
      <c r="AV456" s="128"/>
      <c r="AW456" s="128"/>
      <c r="AX456" s="128"/>
      <c r="AY456" s="128"/>
      <c r="AZ456" s="128"/>
      <c r="BA456" s="128"/>
      <c r="BB456" s="128"/>
      <c r="BC456" s="128"/>
      <c r="BD456" s="128"/>
      <c r="BE456" s="128"/>
      <c r="BF456" s="128"/>
      <c r="BG456" s="128"/>
      <c r="BH456" s="128"/>
      <c r="BI456" s="128"/>
      <c r="BJ456" s="128"/>
      <c r="BK456" s="128"/>
      <c r="BL456" s="128"/>
      <c r="BM456" s="128"/>
      <c r="BN456" s="128"/>
      <c r="BO456" s="128"/>
      <c r="BP456" s="128"/>
      <c r="BQ456" s="128"/>
      <c r="BR456" s="128"/>
      <c r="BS456" s="128"/>
      <c r="BT456" s="128"/>
      <c r="BU456" s="128"/>
      <c r="BV456" s="128"/>
      <c r="BW456" s="128"/>
      <c r="BX456" s="128"/>
      <c r="BY456" s="128"/>
      <c r="BZ456" s="128"/>
      <c r="CA456" s="128"/>
      <c r="CB456" s="128"/>
      <c r="CC456" s="128"/>
      <c r="CD456" s="128"/>
      <c r="CE456" s="128"/>
      <c r="CF456" s="128"/>
      <c r="CG456" s="128"/>
      <c r="CH456" s="128"/>
      <c r="CI456" s="128"/>
      <c r="CJ456" s="128"/>
      <c r="CK456" s="128"/>
      <c r="CL456" s="128"/>
      <c r="CM456" s="128"/>
      <c r="CN456" s="128"/>
      <c r="CO456" s="128"/>
      <c r="CP456" s="128"/>
      <c r="CQ456" s="128"/>
      <c r="CR456" s="128"/>
      <c r="CS456" s="128"/>
      <c r="CT456" s="128"/>
      <c r="CU456" s="128"/>
    </row>
    <row r="457" spans="2:99" ht="15" outlineLevel="1" thickTop="1" thickBot="1">
      <c r="B457" s="292"/>
      <c r="C457" s="293" t="s">
        <v>495</v>
      </c>
      <c r="D457" s="294"/>
      <c r="E457" s="294"/>
      <c r="F457" s="341"/>
      <c r="G457" s="341"/>
      <c r="H457" s="271">
        <f>H446</f>
        <v>-62303.235714285714</v>
      </c>
      <c r="I457" s="271">
        <f ca="1">I446+I424+I427+I455</f>
        <v>-4593.8675149748597</v>
      </c>
      <c r="J457" s="271">
        <f t="shared" ref="J457:AG457" ca="1" si="173">J446+J424+J427+J455</f>
        <v>-5073.5343682003895</v>
      </c>
      <c r="K457" s="271">
        <f t="shared" ca="1" si="173"/>
        <v>-5590.8417929969492</v>
      </c>
      <c r="L457" s="271">
        <f t="shared" ca="1" si="173"/>
        <v>-6150.0814146575867</v>
      </c>
      <c r="M457" s="271">
        <f t="shared" ca="1" si="173"/>
        <v>-6756.0543097751397</v>
      </c>
      <c r="N457" s="271">
        <f t="shared" ca="1" si="173"/>
        <v>1227.6299235347583</v>
      </c>
      <c r="O457" s="271">
        <f t="shared" ca="1" si="173"/>
        <v>1029.9426951363189</v>
      </c>
      <c r="P457" s="271">
        <f t="shared" ca="1" si="173"/>
        <v>829.63516113165088</v>
      </c>
      <c r="Q457" s="271">
        <f t="shared" ca="1" si="173"/>
        <v>626.64691477486349</v>
      </c>
      <c r="R457" s="271">
        <f t="shared" ca="1" si="173"/>
        <v>420.91638918842773</v>
      </c>
      <c r="S457" s="271">
        <f t="shared" ca="1" si="173"/>
        <v>212.38083387356664</v>
      </c>
      <c r="T457" s="271">
        <f t="shared" ca="1" si="173"/>
        <v>0.97629075101440321</v>
      </c>
      <c r="U457" s="271">
        <f t="shared" ca="1" si="173"/>
        <v>-213.3624302751773</v>
      </c>
      <c r="V457" s="271">
        <f t="shared" ca="1" si="173"/>
        <v>-430.7017762408318</v>
      </c>
      <c r="W457" s="271">
        <f t="shared" ca="1" si="173"/>
        <v>-6756.1886957051138</v>
      </c>
      <c r="X457" s="271">
        <f t="shared" ca="1" si="173"/>
        <v>-874.65456875728955</v>
      </c>
      <c r="Y457" s="271">
        <f t="shared" ca="1" si="173"/>
        <v>-1101.4074255050598</v>
      </c>
      <c r="Z457" s="271">
        <f t="shared" ca="1" si="173"/>
        <v>-1331.43978079555</v>
      </c>
      <c r="AA457" s="271">
        <f t="shared" ca="1" si="173"/>
        <v>-1564.8247579511669</v>
      </c>
      <c r="AB457" s="271">
        <f t="shared" ca="1" si="173"/>
        <v>-1801.6368975606581</v>
      </c>
      <c r="AC457" s="271">
        <f t="shared" ca="1" si="173"/>
        <v>-2041.9521860956372</v>
      </c>
      <c r="AD457" s="271">
        <f t="shared" ca="1" si="173"/>
        <v>-2285.8480850978121</v>
      </c>
      <c r="AE457" s="271">
        <f t="shared" ca="1" si="173"/>
        <v>-3536.540976266796</v>
      </c>
      <c r="AF457" s="271">
        <f t="shared" ca="1" si="173"/>
        <v>-3781.8177060575417</v>
      </c>
      <c r="AG457" s="271">
        <f t="shared" ca="1" si="173"/>
        <v>-4030.9526949825104</v>
      </c>
      <c r="AH457" s="128"/>
      <c r="AI457" s="128"/>
      <c r="AJ457" s="128"/>
      <c r="AK457" s="128"/>
      <c r="AL457" s="128"/>
      <c r="AM457" s="128"/>
      <c r="AN457" s="128"/>
      <c r="AO457" s="128"/>
      <c r="AP457" s="128"/>
      <c r="AQ457" s="128"/>
      <c r="AR457" s="128"/>
      <c r="AS457" s="128"/>
      <c r="AT457" s="128"/>
      <c r="AU457" s="128"/>
      <c r="AV457" s="128"/>
      <c r="AW457" s="128"/>
      <c r="AX457" s="128"/>
      <c r="AY457" s="128"/>
      <c r="AZ457" s="128"/>
      <c r="BA457" s="128"/>
      <c r="BB457" s="128"/>
      <c r="BC457" s="128"/>
      <c r="BD457" s="128"/>
      <c r="BE457" s="128"/>
      <c r="BF457" s="128"/>
      <c r="BG457" s="128"/>
      <c r="BH457" s="128"/>
      <c r="BI457" s="128"/>
      <c r="BJ457" s="128"/>
      <c r="BK457" s="128"/>
      <c r="BL457" s="128"/>
      <c r="BM457" s="128"/>
      <c r="BN457" s="128"/>
      <c r="BO457" s="128"/>
      <c r="BP457" s="128"/>
      <c r="BQ457" s="128"/>
      <c r="BR457" s="128"/>
      <c r="BS457" s="128"/>
      <c r="BT457" s="128"/>
      <c r="BU457" s="128"/>
      <c r="BV457" s="128"/>
      <c r="BW457" s="128"/>
      <c r="BX457" s="128"/>
      <c r="BY457" s="128"/>
      <c r="BZ457" s="128"/>
      <c r="CA457" s="128"/>
      <c r="CB457" s="128"/>
      <c r="CC457" s="128"/>
      <c r="CD457" s="128"/>
      <c r="CE457" s="128"/>
      <c r="CF457" s="128"/>
      <c r="CG457" s="128"/>
      <c r="CH457" s="128"/>
      <c r="CI457" s="128"/>
      <c r="CJ457" s="128"/>
      <c r="CK457" s="128"/>
      <c r="CL457" s="128"/>
      <c r="CM457" s="128"/>
      <c r="CN457" s="128"/>
      <c r="CO457" s="128"/>
      <c r="CP457" s="128"/>
      <c r="CQ457" s="128"/>
      <c r="CR457" s="128"/>
      <c r="CS457" s="128"/>
      <c r="CT457" s="128"/>
      <c r="CU457" s="128"/>
    </row>
    <row r="458" spans="2:99" ht="15" outlineLevel="1" thickTop="1" thickBot="1">
      <c r="F458" s="128"/>
      <c r="G458" s="128"/>
      <c r="H458" s="340"/>
      <c r="I458" s="340"/>
      <c r="J458" s="340"/>
      <c r="K458" s="340"/>
      <c r="L458" s="340"/>
      <c r="M458" s="340"/>
      <c r="N458" s="340"/>
      <c r="O458" s="340"/>
      <c r="P458" s="340"/>
      <c r="Q458" s="340"/>
      <c r="R458" s="340"/>
      <c r="S458" s="340"/>
      <c r="T458" s="340"/>
      <c r="U458" s="340"/>
      <c r="V458" s="340"/>
      <c r="W458" s="340"/>
      <c r="X458" s="340"/>
      <c r="Y458" s="340"/>
      <c r="Z458" s="340"/>
      <c r="AA458" s="340"/>
      <c r="AB458" s="340"/>
      <c r="AC458" s="340"/>
      <c r="AD458" s="340"/>
      <c r="AE458" s="340"/>
      <c r="AF458" s="340"/>
      <c r="AG458" s="340"/>
      <c r="AH458" s="128"/>
      <c r="AI458" s="128"/>
      <c r="AJ458" s="128"/>
      <c r="AK458" s="128"/>
      <c r="AL458" s="128"/>
      <c r="AM458" s="128"/>
      <c r="AN458" s="128"/>
      <c r="AO458" s="128"/>
      <c r="AP458" s="128"/>
      <c r="AQ458" s="128"/>
      <c r="AR458" s="128"/>
      <c r="AS458" s="128"/>
      <c r="AT458" s="128"/>
      <c r="AU458" s="128"/>
      <c r="AV458" s="128"/>
      <c r="AW458" s="128"/>
      <c r="AX458" s="128"/>
      <c r="AY458" s="128"/>
      <c r="AZ458" s="128"/>
      <c r="BA458" s="128"/>
      <c r="BB458" s="128"/>
      <c r="BC458" s="128"/>
      <c r="BD458" s="128"/>
      <c r="BE458" s="128"/>
      <c r="BF458" s="128"/>
      <c r="BG458" s="128"/>
      <c r="BH458" s="128"/>
      <c r="BI458" s="128"/>
      <c r="BJ458" s="128"/>
      <c r="BK458" s="128"/>
      <c r="BL458" s="128"/>
      <c r="BM458" s="128"/>
      <c r="BN458" s="128"/>
      <c r="BO458" s="128"/>
      <c r="BP458" s="128"/>
      <c r="BQ458" s="128"/>
      <c r="BR458" s="128"/>
      <c r="BS458" s="128"/>
      <c r="BT458" s="128"/>
      <c r="BU458" s="128"/>
      <c r="BV458" s="128"/>
      <c r="BW458" s="128"/>
      <c r="BX458" s="128"/>
      <c r="BY458" s="128"/>
      <c r="BZ458" s="128"/>
      <c r="CA458" s="128"/>
      <c r="CB458" s="128"/>
      <c r="CC458" s="128"/>
      <c r="CD458" s="128"/>
      <c r="CE458" s="128"/>
      <c r="CF458" s="128"/>
      <c r="CG458" s="128"/>
      <c r="CH458" s="128"/>
      <c r="CI458" s="128"/>
      <c r="CJ458" s="128"/>
      <c r="CK458" s="128"/>
      <c r="CL458" s="128"/>
      <c r="CM458" s="128"/>
      <c r="CN458" s="128"/>
      <c r="CO458" s="128"/>
      <c r="CP458" s="128"/>
      <c r="CQ458" s="128"/>
      <c r="CR458" s="128"/>
      <c r="CS458" s="128"/>
      <c r="CT458" s="128"/>
      <c r="CU458" s="128"/>
    </row>
    <row r="459" spans="2:99" ht="15" outlineLevel="1" thickTop="1" thickBot="1">
      <c r="B459" s="292"/>
      <c r="C459" s="293" t="s">
        <v>496</v>
      </c>
      <c r="D459" s="294"/>
      <c r="E459" s="294"/>
      <c r="F459" s="341"/>
      <c r="G459" s="341"/>
      <c r="H459" s="271">
        <f>H424+H430+H431</f>
        <v>-31151.617857142857</v>
      </c>
      <c r="I459" s="271">
        <f ca="1">I424+I427+I446+I455</f>
        <v>-4593.8675149748597</v>
      </c>
      <c r="J459" s="271">
        <f t="shared" ref="J459:AG459" ca="1" si="174">J424+J427+J446+J455</f>
        <v>-5073.5343682003895</v>
      </c>
      <c r="K459" s="271">
        <f t="shared" ca="1" si="174"/>
        <v>-5590.8417929969492</v>
      </c>
      <c r="L459" s="271">
        <f t="shared" ca="1" si="174"/>
        <v>-6150.0814146575867</v>
      </c>
      <c r="M459" s="271">
        <f t="shared" ca="1" si="174"/>
        <v>-6756.0543097751397</v>
      </c>
      <c r="N459" s="271">
        <f t="shared" ca="1" si="174"/>
        <v>1227.6299235347583</v>
      </c>
      <c r="O459" s="271">
        <f t="shared" ca="1" si="174"/>
        <v>1029.9426951363189</v>
      </c>
      <c r="P459" s="271">
        <f t="shared" ca="1" si="174"/>
        <v>829.63516113165088</v>
      </c>
      <c r="Q459" s="271">
        <f t="shared" ca="1" si="174"/>
        <v>626.64691477486349</v>
      </c>
      <c r="R459" s="271">
        <f t="shared" ca="1" si="174"/>
        <v>420.91638918842773</v>
      </c>
      <c r="S459" s="271">
        <f t="shared" ca="1" si="174"/>
        <v>212.38083387356664</v>
      </c>
      <c r="T459" s="271">
        <f t="shared" ca="1" si="174"/>
        <v>0.97629075101440321</v>
      </c>
      <c r="U459" s="271">
        <f t="shared" ca="1" si="174"/>
        <v>-213.3624302751773</v>
      </c>
      <c r="V459" s="271">
        <f t="shared" ca="1" si="174"/>
        <v>-430.7017762408318</v>
      </c>
      <c r="W459" s="271">
        <f t="shared" ca="1" si="174"/>
        <v>-6756.1886957051138</v>
      </c>
      <c r="X459" s="271">
        <f t="shared" ca="1" si="174"/>
        <v>-874.65456875728955</v>
      </c>
      <c r="Y459" s="271">
        <f t="shared" ca="1" si="174"/>
        <v>-1101.4074255050598</v>
      </c>
      <c r="Z459" s="271">
        <f t="shared" ca="1" si="174"/>
        <v>-1331.43978079555</v>
      </c>
      <c r="AA459" s="271">
        <f t="shared" ca="1" si="174"/>
        <v>-1564.8247579511669</v>
      </c>
      <c r="AB459" s="271">
        <f t="shared" ca="1" si="174"/>
        <v>-1801.6368975606581</v>
      </c>
      <c r="AC459" s="271">
        <f t="shared" ca="1" si="174"/>
        <v>-2041.9521860956372</v>
      </c>
      <c r="AD459" s="271">
        <f t="shared" ca="1" si="174"/>
        <v>-2285.8480850978121</v>
      </c>
      <c r="AE459" s="271">
        <f t="shared" ca="1" si="174"/>
        <v>-3536.540976266796</v>
      </c>
      <c r="AF459" s="271">
        <f t="shared" ca="1" si="174"/>
        <v>-3781.8177060575417</v>
      </c>
      <c r="AG459" s="271">
        <f t="shared" ca="1" si="174"/>
        <v>-4030.9526949825104</v>
      </c>
      <c r="AH459" s="128"/>
      <c r="AI459" s="128"/>
      <c r="AJ459" s="128"/>
      <c r="AK459" s="128"/>
      <c r="AL459" s="128"/>
      <c r="AM459" s="128"/>
      <c r="AN459" s="128"/>
      <c r="AO459" s="128"/>
      <c r="AP459" s="128"/>
      <c r="AQ459" s="128"/>
      <c r="AR459" s="128"/>
      <c r="AS459" s="128"/>
      <c r="AT459" s="128"/>
      <c r="AU459" s="128"/>
      <c r="AV459" s="128"/>
      <c r="AW459" s="128"/>
      <c r="AX459" s="128"/>
      <c r="AY459" s="128"/>
      <c r="AZ459" s="128"/>
      <c r="BA459" s="128"/>
      <c r="BB459" s="128"/>
      <c r="BC459" s="128"/>
      <c r="BD459" s="128"/>
      <c r="BE459" s="128"/>
      <c r="BF459" s="128"/>
      <c r="BG459" s="128"/>
      <c r="BH459" s="128"/>
      <c r="BI459" s="128"/>
      <c r="BJ459" s="128"/>
      <c r="BK459" s="128"/>
      <c r="BL459" s="128"/>
      <c r="BM459" s="128"/>
      <c r="BN459" s="128"/>
      <c r="BO459" s="128"/>
      <c r="BP459" s="128"/>
      <c r="BQ459" s="128"/>
      <c r="BR459" s="128"/>
      <c r="BS459" s="128"/>
      <c r="BT459" s="128"/>
      <c r="BU459" s="128"/>
      <c r="BV459" s="128"/>
      <c r="BW459" s="128"/>
      <c r="BX459" s="128"/>
      <c r="BY459" s="128"/>
      <c r="BZ459" s="128"/>
      <c r="CA459" s="128"/>
      <c r="CB459" s="128"/>
      <c r="CC459" s="128"/>
      <c r="CD459" s="128"/>
      <c r="CE459" s="128"/>
      <c r="CF459" s="128"/>
      <c r="CG459" s="128"/>
      <c r="CH459" s="128"/>
      <c r="CI459" s="128"/>
      <c r="CJ459" s="128"/>
      <c r="CK459" s="128"/>
      <c r="CL459" s="128"/>
      <c r="CM459" s="128"/>
      <c r="CN459" s="128"/>
      <c r="CO459" s="128"/>
      <c r="CP459" s="128"/>
      <c r="CQ459" s="128"/>
      <c r="CR459" s="128"/>
      <c r="CS459" s="128"/>
      <c r="CT459" s="128"/>
      <c r="CU459" s="128"/>
    </row>
    <row r="460" spans="2:99" ht="15" outlineLevel="1" thickTop="1" thickBot="1">
      <c r="B460" s="292"/>
      <c r="C460" s="293" t="s">
        <v>497</v>
      </c>
      <c r="D460" s="294"/>
      <c r="E460" s="294"/>
      <c r="F460" s="341"/>
      <c r="G460" s="341"/>
      <c r="H460" s="271"/>
      <c r="I460" s="392" t="str">
        <f ca="1">(IF(SUM($I$459:I459)&gt;-$H$459,I$1,""))</f>
        <v/>
      </c>
      <c r="J460" s="271" t="str">
        <f ca="1">(IF(SUM($I$459:J459)&gt;-$H$459,J$1,""))</f>
        <v/>
      </c>
      <c r="K460" s="271" t="str">
        <f ca="1">(IF(SUM($I$459:K459)&gt;-$H$459,K$1,""))</f>
        <v/>
      </c>
      <c r="L460" s="271" t="str">
        <f ca="1">(IF(SUM($I$459:L459)&gt;-$H$459,L$1,""))</f>
        <v/>
      </c>
      <c r="M460" s="271" t="str">
        <f ca="1">(IF(SUM($I$459:M459)&gt;-$H$459,M$1,""))</f>
        <v/>
      </c>
      <c r="N460" s="271" t="str">
        <f ca="1">(IF(SUM($I$459:N459)&gt;-$H$459,N$1,""))</f>
        <v/>
      </c>
      <c r="O460" s="271" t="str">
        <f ca="1">(IF(SUM($I$459:O459)&gt;-$H$459,O$1,""))</f>
        <v/>
      </c>
      <c r="P460" s="271" t="str">
        <f ca="1">(IF(SUM($I$459:P459)&gt;-$H$459,P$1,""))</f>
        <v/>
      </c>
      <c r="Q460" s="271" t="str">
        <f ca="1">(IF(SUM($I$459:Q459)&gt;-$H$459,Q$1,""))</f>
        <v/>
      </c>
      <c r="R460" s="271" t="str">
        <f ca="1">(IF(SUM($I$459:R459)&gt;-$H$459,R$1,""))</f>
        <v/>
      </c>
      <c r="S460" s="271" t="str">
        <f ca="1">(IF(SUM($I$459:S459)&gt;-$H$459,S$1,""))</f>
        <v/>
      </c>
      <c r="T460" s="271" t="str">
        <f ca="1">(IF(SUM($I$459:T459)&gt;-$H$459,T$1,""))</f>
        <v/>
      </c>
      <c r="U460" s="271" t="str">
        <f ca="1">(IF(SUM($I$459:U459)&gt;-$H$459,U$1,""))</f>
        <v/>
      </c>
      <c r="V460" s="271" t="str">
        <f ca="1">(IF(SUM($I$459:V459)&gt;-$H$459,V$1,""))</f>
        <v/>
      </c>
      <c r="W460" s="271" t="str">
        <f ca="1">(IF(SUM($I$459:W459)&gt;-$H$459,W$1,""))</f>
        <v/>
      </c>
      <c r="X460" s="271" t="str">
        <f ca="1">(IF(SUM($I$459:X459)&gt;-$H$459,X$1,""))</f>
        <v/>
      </c>
      <c r="Y460" s="271" t="str">
        <f ca="1">(IF(SUM($I$459:Y459)&gt;-$H$459,Y$1,""))</f>
        <v/>
      </c>
      <c r="Z460" s="271" t="str">
        <f ca="1">(IF(SUM($I$459:Z459)&gt;-$H$459,Z$1,""))</f>
        <v/>
      </c>
      <c r="AA460" s="271" t="str">
        <f ca="1">(IF(SUM($I$459:AA459)&gt;-$H$459,AA$1,""))</f>
        <v/>
      </c>
      <c r="AB460" s="271" t="str">
        <f ca="1">(IF(SUM($I$459:AB459)&gt;-$H$459,AB$1,""))</f>
        <v/>
      </c>
      <c r="AC460" s="271" t="str">
        <f ca="1">(IF(SUM($I$459:AC459)&gt;-$H$459,AC$1,""))</f>
        <v/>
      </c>
      <c r="AD460" s="271" t="str">
        <f ca="1">(IF(SUM($I$459:AD459)&gt;-$H$459,AD$1,""))</f>
        <v/>
      </c>
      <c r="AE460" s="271" t="str">
        <f ca="1">(IF(SUM($I$459:AE459)&gt;-$H$459,AE$1,""))</f>
        <v/>
      </c>
      <c r="AF460" s="271" t="str">
        <f ca="1">(IF(SUM($I$459:AF459)&gt;-$H$459,AF$1,""))</f>
        <v/>
      </c>
      <c r="AG460" s="271" t="str">
        <f ca="1">(IF(SUM($I$459:AG459)&gt;-$H$459,AG$1,""))</f>
        <v/>
      </c>
      <c r="AH460" s="128"/>
      <c r="AI460" s="128"/>
      <c r="AJ460" s="128"/>
      <c r="AK460" s="128"/>
      <c r="AL460" s="128"/>
      <c r="AM460" s="128"/>
      <c r="AN460" s="128"/>
      <c r="AO460" s="128"/>
      <c r="AP460" s="128"/>
      <c r="AQ460" s="128"/>
      <c r="AR460" s="128"/>
      <c r="AS460" s="128"/>
      <c r="AT460" s="128"/>
      <c r="AU460" s="128"/>
      <c r="AV460" s="128"/>
      <c r="AW460" s="128"/>
      <c r="AX460" s="128"/>
      <c r="AY460" s="128"/>
      <c r="AZ460" s="128"/>
      <c r="BA460" s="128"/>
      <c r="BB460" s="128"/>
      <c r="BC460" s="128"/>
      <c r="BD460" s="128"/>
      <c r="BE460" s="128"/>
      <c r="BF460" s="128"/>
      <c r="BG460" s="128"/>
      <c r="BH460" s="128"/>
      <c r="BI460" s="128"/>
      <c r="BJ460" s="128"/>
      <c r="BK460" s="128"/>
      <c r="BL460" s="128"/>
      <c r="BM460" s="128"/>
      <c r="BN460" s="128"/>
      <c r="BO460" s="128"/>
      <c r="BP460" s="128"/>
      <c r="BQ460" s="128"/>
      <c r="BR460" s="128"/>
      <c r="BS460" s="128"/>
      <c r="BT460" s="128"/>
      <c r="BU460" s="128"/>
      <c r="BV460" s="128"/>
      <c r="BW460" s="128"/>
      <c r="BX460" s="128"/>
      <c r="BY460" s="128"/>
      <c r="BZ460" s="128"/>
      <c r="CA460" s="128"/>
      <c r="CB460" s="128"/>
      <c r="CC460" s="128"/>
      <c r="CD460" s="128"/>
      <c r="CE460" s="128"/>
      <c r="CF460" s="128"/>
      <c r="CG460" s="128"/>
      <c r="CH460" s="128"/>
      <c r="CI460" s="128"/>
      <c r="CJ460" s="128"/>
      <c r="CK460" s="128"/>
      <c r="CL460" s="128"/>
      <c r="CM460" s="128"/>
      <c r="CN460" s="128"/>
      <c r="CO460" s="128"/>
      <c r="CP460" s="128"/>
      <c r="CQ460" s="128"/>
      <c r="CR460" s="128"/>
      <c r="CS460" s="128"/>
      <c r="CT460" s="128"/>
      <c r="CU460" s="128"/>
    </row>
    <row r="461" spans="2:99" ht="15" outlineLevel="1" thickTop="1" thickBot="1">
      <c r="F461" s="128"/>
      <c r="H461" s="340"/>
      <c r="I461" s="340"/>
      <c r="J461" s="340"/>
      <c r="K461" s="340"/>
      <c r="L461" s="340"/>
      <c r="M461" s="340"/>
      <c r="N461" s="340"/>
      <c r="O461" s="340"/>
      <c r="P461" s="340"/>
      <c r="Q461" s="340"/>
      <c r="R461" s="340"/>
      <c r="S461" s="340"/>
      <c r="T461" s="340"/>
      <c r="U461" s="340"/>
      <c r="V461" s="340"/>
      <c r="W461" s="340"/>
      <c r="X461" s="340"/>
      <c r="Y461" s="340"/>
      <c r="Z461" s="340"/>
      <c r="AA461" s="340"/>
      <c r="AB461" s="340"/>
      <c r="AC461" s="340"/>
      <c r="AD461" s="340"/>
      <c r="AE461" s="340"/>
      <c r="AF461" s="340"/>
      <c r="AG461" s="340"/>
      <c r="AH461" s="128"/>
      <c r="AI461" s="128"/>
      <c r="AJ461" s="128"/>
      <c r="AK461" s="128"/>
      <c r="AL461" s="128"/>
      <c r="AM461" s="128"/>
      <c r="AN461" s="128"/>
      <c r="AO461" s="128"/>
      <c r="AP461" s="128"/>
      <c r="AQ461" s="128"/>
      <c r="AR461" s="128"/>
      <c r="AS461" s="128"/>
      <c r="AT461" s="128"/>
      <c r="AU461" s="128"/>
      <c r="AV461" s="128"/>
      <c r="AW461" s="128"/>
      <c r="AX461" s="128"/>
      <c r="AY461" s="128"/>
      <c r="AZ461" s="128"/>
      <c r="BA461" s="128"/>
      <c r="BB461" s="128"/>
      <c r="BC461" s="128"/>
      <c r="BD461" s="128"/>
      <c r="BE461" s="128"/>
      <c r="BF461" s="128"/>
      <c r="BG461" s="128"/>
      <c r="BH461" s="128"/>
      <c r="BI461" s="128"/>
      <c r="BJ461" s="128"/>
      <c r="BK461" s="128"/>
      <c r="BL461" s="128"/>
      <c r="BM461" s="128"/>
      <c r="BN461" s="128"/>
      <c r="BO461" s="128"/>
      <c r="BP461" s="128"/>
      <c r="BQ461" s="128"/>
      <c r="BR461" s="128"/>
      <c r="BS461" s="128"/>
      <c r="BT461" s="128"/>
      <c r="BU461" s="128"/>
      <c r="BV461" s="128"/>
      <c r="BW461" s="128"/>
      <c r="BX461" s="128"/>
      <c r="BY461" s="128"/>
      <c r="BZ461" s="128"/>
      <c r="CA461" s="128"/>
      <c r="CB461" s="128"/>
      <c r="CC461" s="128"/>
      <c r="CD461" s="128"/>
      <c r="CE461" s="128"/>
      <c r="CF461" s="128"/>
      <c r="CG461" s="128"/>
      <c r="CH461" s="128"/>
      <c r="CI461" s="128"/>
      <c r="CJ461" s="128"/>
      <c r="CK461" s="128"/>
      <c r="CL461" s="128"/>
      <c r="CM461" s="128"/>
      <c r="CN461" s="128"/>
      <c r="CO461" s="128"/>
      <c r="CP461" s="128"/>
      <c r="CQ461" s="128"/>
      <c r="CR461" s="128"/>
      <c r="CS461" s="128"/>
      <c r="CT461" s="128"/>
      <c r="CU461" s="128"/>
    </row>
    <row r="462" spans="2:99" s="398" customFormat="1" ht="17.5" customHeight="1" thickBot="1">
      <c r="B462" s="129"/>
      <c r="C462" s="393" t="s">
        <v>498</v>
      </c>
      <c r="D462" s="394"/>
      <c r="E462" s="394"/>
      <c r="F462" s="395"/>
      <c r="G462" s="395"/>
      <c r="H462" s="396">
        <f>IF(H1&lt;=$D$18,IFERROR(H459,""),0)</f>
        <v>-31151.617857142857</v>
      </c>
      <c r="I462" s="396">
        <f t="shared" ref="I462:AG462" ca="1" si="175">IF(I1&lt;=$D$18,I459+H462,0)</f>
        <v>-35745.485372117721</v>
      </c>
      <c r="J462" s="396">
        <f t="shared" ca="1" si="175"/>
        <v>-40819.019740318108</v>
      </c>
      <c r="K462" s="396">
        <f t="shared" ca="1" si="175"/>
        <v>-46409.861533315059</v>
      </c>
      <c r="L462" s="396">
        <f t="shared" ca="1" si="175"/>
        <v>-52559.942947972646</v>
      </c>
      <c r="M462" s="396">
        <f t="shared" ca="1" si="175"/>
        <v>-59315.997257747789</v>
      </c>
      <c r="N462" s="396">
        <f t="shared" ca="1" si="175"/>
        <v>-58088.367334213028</v>
      </c>
      <c r="O462" s="396">
        <f t="shared" ca="1" si="175"/>
        <v>-57058.424639076708</v>
      </c>
      <c r="P462" s="396">
        <f t="shared" ca="1" si="175"/>
        <v>-56228.789477945058</v>
      </c>
      <c r="Q462" s="396">
        <f t="shared" ca="1" si="175"/>
        <v>-55602.142563170193</v>
      </c>
      <c r="R462" s="396">
        <f t="shared" ca="1" si="175"/>
        <v>-55181.226173981762</v>
      </c>
      <c r="S462" s="396">
        <f t="shared" ca="1" si="175"/>
        <v>-54968.845340108193</v>
      </c>
      <c r="T462" s="396">
        <f t="shared" ca="1" si="175"/>
        <v>-54967.869049357178</v>
      </c>
      <c r="U462" s="396">
        <f t="shared" ca="1" si="175"/>
        <v>-55181.231479632355</v>
      </c>
      <c r="V462" s="396">
        <f t="shared" ca="1" si="175"/>
        <v>-55611.933255873184</v>
      </c>
      <c r="W462" s="396">
        <f t="shared" ca="1" si="175"/>
        <v>-62368.121951578301</v>
      </c>
      <c r="X462" s="396">
        <f t="shared" ca="1" si="175"/>
        <v>-63242.776520335588</v>
      </c>
      <c r="Y462" s="396">
        <f t="shared" ca="1" si="175"/>
        <v>-64344.183945840647</v>
      </c>
      <c r="Z462" s="396">
        <f t="shared" ca="1" si="175"/>
        <v>-65675.6237266362</v>
      </c>
      <c r="AA462" s="396">
        <f t="shared" ca="1" si="175"/>
        <v>-67240.448484587367</v>
      </c>
      <c r="AB462" s="396">
        <f t="shared" ca="1" si="175"/>
        <v>-69042.085382148027</v>
      </c>
      <c r="AC462" s="396">
        <f t="shared" ca="1" si="175"/>
        <v>-71084.037568243657</v>
      </c>
      <c r="AD462" s="396">
        <f t="shared" ca="1" si="175"/>
        <v>-73369.885653341466</v>
      </c>
      <c r="AE462" s="396">
        <f t="shared" ca="1" si="175"/>
        <v>-76906.426629608264</v>
      </c>
      <c r="AF462" s="396">
        <f t="shared" ca="1" si="175"/>
        <v>-80688.244335665804</v>
      </c>
      <c r="AG462" s="396">
        <f t="shared" ca="1" si="175"/>
        <v>-84719.197030648313</v>
      </c>
      <c r="AH462" s="397"/>
      <c r="AI462" s="397"/>
      <c r="AJ462" s="397"/>
      <c r="AK462" s="397"/>
      <c r="AL462" s="397"/>
      <c r="AM462" s="397"/>
      <c r="AN462" s="397"/>
      <c r="AO462" s="397"/>
      <c r="AP462" s="397"/>
      <c r="AQ462" s="397"/>
      <c r="AR462" s="397"/>
      <c r="AS462" s="397"/>
      <c r="AT462" s="397"/>
      <c r="AU462" s="397"/>
      <c r="AV462" s="397"/>
      <c r="AW462" s="397"/>
      <c r="AX462" s="397"/>
      <c r="AY462" s="397"/>
      <c r="AZ462" s="397"/>
      <c r="BA462" s="397"/>
      <c r="BB462" s="397"/>
      <c r="BC462" s="397"/>
      <c r="BD462" s="397"/>
      <c r="BE462" s="397"/>
      <c r="BF462" s="397"/>
      <c r="BG462" s="397"/>
      <c r="BH462" s="397"/>
      <c r="BI462" s="397"/>
      <c r="BJ462" s="397"/>
      <c r="BK462" s="397"/>
      <c r="BL462" s="397"/>
      <c r="BM462" s="397"/>
      <c r="BN462" s="397"/>
      <c r="BO462" s="397"/>
      <c r="BP462" s="397"/>
      <c r="BQ462" s="397"/>
      <c r="BR462" s="397"/>
      <c r="BS462" s="397"/>
      <c r="BT462" s="397"/>
      <c r="BU462" s="397"/>
      <c r="BV462" s="397"/>
      <c r="BW462" s="397"/>
      <c r="BX462" s="397"/>
      <c r="BY462" s="397"/>
      <c r="BZ462" s="397"/>
      <c r="CA462" s="397"/>
      <c r="CB462" s="397"/>
      <c r="CC462" s="397"/>
      <c r="CD462" s="397"/>
      <c r="CE462" s="397"/>
      <c r="CF462" s="397"/>
      <c r="CG462" s="397"/>
      <c r="CH462" s="397"/>
      <c r="CI462" s="397"/>
      <c r="CJ462" s="397"/>
      <c r="CK462" s="397"/>
      <c r="CL462" s="397"/>
      <c r="CM462" s="397"/>
      <c r="CN462" s="397"/>
      <c r="CO462" s="397"/>
      <c r="CP462" s="397"/>
      <c r="CQ462" s="397"/>
      <c r="CR462" s="397"/>
      <c r="CS462" s="397"/>
      <c r="CT462" s="397"/>
      <c r="CU462" s="397"/>
    </row>
    <row r="463" spans="2:99">
      <c r="H463" s="340"/>
      <c r="I463" s="340"/>
      <c r="J463" s="340"/>
      <c r="K463" s="340"/>
      <c r="L463" s="340"/>
      <c r="M463" s="340"/>
      <c r="N463" s="340"/>
      <c r="O463" s="340"/>
      <c r="P463" s="340"/>
      <c r="Q463" s="340"/>
      <c r="R463" s="340"/>
      <c r="S463" s="340"/>
      <c r="T463" s="340"/>
      <c r="U463" s="340"/>
      <c r="V463" s="340"/>
      <c r="W463" s="340"/>
      <c r="X463" s="340"/>
      <c r="Y463" s="340"/>
      <c r="Z463" s="340"/>
      <c r="AA463" s="340"/>
      <c r="AB463" s="340"/>
      <c r="AC463" s="340"/>
      <c r="AD463" s="340"/>
      <c r="AE463" s="340"/>
      <c r="AF463" s="340"/>
      <c r="AG463" s="340"/>
    </row>
    <row r="464" spans="2:99">
      <c r="H464" s="340"/>
      <c r="I464" s="340"/>
      <c r="J464" s="340"/>
      <c r="K464" s="340"/>
      <c r="L464" s="340"/>
      <c r="M464" s="340"/>
      <c r="N464" s="340"/>
      <c r="O464" s="340"/>
      <c r="P464" s="340"/>
      <c r="Q464" s="340"/>
      <c r="R464" s="340"/>
      <c r="S464" s="340"/>
      <c r="T464" s="340"/>
      <c r="U464" s="340"/>
      <c r="V464" s="340"/>
      <c r="W464" s="340"/>
      <c r="X464" s="340"/>
      <c r="Y464" s="340"/>
      <c r="Z464" s="340"/>
      <c r="AA464" s="340"/>
      <c r="AB464" s="340"/>
      <c r="AC464" s="340"/>
      <c r="AD464" s="340"/>
      <c r="AE464" s="340"/>
      <c r="AF464" s="340"/>
      <c r="AG464" s="340"/>
    </row>
    <row r="465" spans="2:99" ht="23" outlineLevel="1">
      <c r="B465" s="129"/>
      <c r="C465" s="142" t="s">
        <v>499</v>
      </c>
      <c r="D465" s="143"/>
      <c r="E465" s="237"/>
      <c r="F465" s="237"/>
      <c r="G465" s="237"/>
      <c r="H465" s="237"/>
      <c r="I465" s="399"/>
      <c r="J465" s="399"/>
      <c r="K465" s="237">
        <f>$K$1</f>
        <v>3</v>
      </c>
      <c r="L465" s="237">
        <f>$L$1</f>
        <v>4</v>
      </c>
      <c r="M465" s="237">
        <f>$M$1</f>
        <v>5</v>
      </c>
      <c r="N465" s="237">
        <f>$N$1</f>
        <v>6</v>
      </c>
      <c r="O465" s="237">
        <f>$O$1</f>
        <v>7</v>
      </c>
      <c r="P465" s="237">
        <f>$P$1</f>
        <v>8</v>
      </c>
      <c r="Q465" s="237">
        <f>$Q$1</f>
        <v>9</v>
      </c>
      <c r="R465" s="237">
        <f>$R$1</f>
        <v>10</v>
      </c>
      <c r="S465" s="237">
        <f>$S$1</f>
        <v>11</v>
      </c>
      <c r="T465" s="237">
        <f>$T$1</f>
        <v>12</v>
      </c>
      <c r="U465" s="237">
        <f>$U$1</f>
        <v>13</v>
      </c>
      <c r="V465" s="237">
        <f>$V$1</f>
        <v>14</v>
      </c>
      <c r="W465" s="237">
        <f>$W$1</f>
        <v>15</v>
      </c>
      <c r="X465" s="237">
        <f>$X$1</f>
        <v>16</v>
      </c>
      <c r="Y465" s="237">
        <f>$Y$1</f>
        <v>17</v>
      </c>
      <c r="Z465" s="237">
        <f>$Z$1</f>
        <v>18</v>
      </c>
      <c r="AA465" s="237">
        <f>$AA$1</f>
        <v>19</v>
      </c>
      <c r="AB465" s="237">
        <f>$AB$1</f>
        <v>20</v>
      </c>
      <c r="AC465" s="237">
        <f>$AC$1</f>
        <v>21</v>
      </c>
      <c r="AD465" s="237">
        <f>$AD$1</f>
        <v>22</v>
      </c>
      <c r="AE465" s="237">
        <f>$AE$1</f>
        <v>23</v>
      </c>
      <c r="AF465" s="237">
        <f>$AF$1</f>
        <v>24</v>
      </c>
      <c r="AG465" s="237">
        <f>$AG$1</f>
        <v>25</v>
      </c>
      <c r="AH465" s="128"/>
      <c r="AI465" s="128"/>
      <c r="AJ465" s="128"/>
      <c r="AK465" s="128"/>
      <c r="AL465" s="128"/>
      <c r="AM465" s="128"/>
      <c r="AN465" s="128"/>
      <c r="AO465" s="128"/>
      <c r="AP465" s="128"/>
      <c r="AQ465" s="128"/>
      <c r="AR465" s="128"/>
      <c r="AS465" s="128"/>
      <c r="AT465" s="128"/>
      <c r="AU465" s="128"/>
      <c r="AV465" s="128"/>
      <c r="AW465" s="128"/>
      <c r="AX465" s="128"/>
      <c r="AY465" s="128"/>
      <c r="AZ465" s="128"/>
      <c r="BA465" s="128"/>
      <c r="BB465" s="128"/>
      <c r="BC465" s="128"/>
      <c r="BD465" s="128"/>
      <c r="BE465" s="128"/>
      <c r="BF465" s="128"/>
      <c r="BG465" s="128"/>
      <c r="BH465" s="128"/>
      <c r="BI465" s="128"/>
      <c r="BJ465" s="128"/>
      <c r="BK465" s="128"/>
      <c r="BL465" s="128"/>
      <c r="BM465" s="128"/>
      <c r="BN465" s="128"/>
      <c r="BO465" s="128"/>
      <c r="BP465" s="128"/>
      <c r="BQ465" s="128"/>
      <c r="BR465" s="128"/>
      <c r="BS465" s="128"/>
      <c r="BT465" s="128"/>
      <c r="BU465" s="128"/>
      <c r="BV465" s="128"/>
      <c r="BW465" s="128"/>
      <c r="BX465" s="128"/>
      <c r="BY465" s="128"/>
      <c r="BZ465" s="128"/>
      <c r="CA465" s="128"/>
      <c r="CB465" s="128"/>
      <c r="CC465" s="128"/>
      <c r="CD465" s="128"/>
      <c r="CE465" s="128"/>
      <c r="CF465" s="128"/>
      <c r="CG465" s="128"/>
      <c r="CH465" s="128"/>
      <c r="CI465" s="128"/>
      <c r="CJ465" s="128"/>
      <c r="CK465" s="128"/>
      <c r="CL465" s="128"/>
      <c r="CM465" s="128"/>
      <c r="CN465" s="128"/>
      <c r="CO465" s="128"/>
      <c r="CP465" s="128"/>
      <c r="CQ465" s="128"/>
      <c r="CR465" s="128"/>
      <c r="CS465" s="128"/>
      <c r="CT465" s="128"/>
      <c r="CU465" s="128"/>
    </row>
    <row r="466" spans="2:99" ht="14.5" outlineLevel="1" thickBot="1">
      <c r="F466" s="128"/>
      <c r="H466" s="340"/>
      <c r="I466" s="340"/>
      <c r="J466" s="340"/>
      <c r="K466" s="340"/>
      <c r="L466" s="340"/>
      <c r="M466" s="340"/>
      <c r="N466" s="340"/>
      <c r="O466" s="340"/>
      <c r="P466" s="340"/>
      <c r="Q466" s="340"/>
      <c r="R466" s="340"/>
      <c r="S466" s="340"/>
      <c r="T466" s="340"/>
      <c r="U466" s="340"/>
      <c r="V466" s="340"/>
      <c r="W466" s="340"/>
      <c r="X466" s="340"/>
      <c r="Y466" s="340"/>
      <c r="Z466" s="340"/>
      <c r="AA466" s="340"/>
      <c r="AB466" s="340"/>
      <c r="AC466" s="340"/>
      <c r="AD466" s="340"/>
      <c r="AE466" s="340"/>
      <c r="AF466" s="340"/>
      <c r="AG466" s="340"/>
      <c r="AH466" s="128"/>
      <c r="AI466" s="128"/>
      <c r="AJ466" s="128"/>
      <c r="AK466" s="128"/>
      <c r="AL466" s="128"/>
      <c r="AM466" s="128"/>
      <c r="AN466" s="128"/>
      <c r="AO466" s="128"/>
      <c r="AP466" s="128"/>
      <c r="AQ466" s="128"/>
      <c r="AR466" s="128"/>
      <c r="AS466" s="128"/>
      <c r="AT466" s="128"/>
      <c r="AU466" s="128"/>
      <c r="AV466" s="128"/>
      <c r="AW466" s="128"/>
      <c r="AX466" s="128"/>
      <c r="AY466" s="128"/>
      <c r="AZ466" s="128"/>
      <c r="BA466" s="128"/>
      <c r="BB466" s="128"/>
      <c r="BC466" s="128"/>
      <c r="BD466" s="128"/>
      <c r="BE466" s="128"/>
      <c r="BF466" s="128"/>
      <c r="BG466" s="128"/>
      <c r="BH466" s="128"/>
      <c r="BI466" s="128"/>
      <c r="BJ466" s="128"/>
      <c r="BK466" s="128"/>
      <c r="BL466" s="128"/>
      <c r="BM466" s="128"/>
      <c r="BN466" s="128"/>
      <c r="BO466" s="128"/>
      <c r="BP466" s="128"/>
      <c r="BQ466" s="128"/>
      <c r="BR466" s="128"/>
      <c r="BS466" s="128"/>
      <c r="BT466" s="128"/>
      <c r="BU466" s="128"/>
      <c r="BV466" s="128"/>
      <c r="BW466" s="128"/>
      <c r="BX466" s="128"/>
      <c r="BY466" s="128"/>
      <c r="BZ466" s="128"/>
      <c r="CA466" s="128"/>
      <c r="CB466" s="128"/>
      <c r="CC466" s="128"/>
      <c r="CD466" s="128"/>
      <c r="CE466" s="128"/>
      <c r="CF466" s="128"/>
      <c r="CG466" s="128"/>
      <c r="CH466" s="128"/>
      <c r="CI466" s="128"/>
      <c r="CJ466" s="128"/>
      <c r="CK466" s="128"/>
      <c r="CL466" s="128"/>
      <c r="CM466" s="128"/>
      <c r="CN466" s="128"/>
      <c r="CO466" s="128"/>
      <c r="CP466" s="128"/>
      <c r="CQ466" s="128"/>
      <c r="CR466" s="128"/>
      <c r="CS466" s="128"/>
      <c r="CT466" s="128"/>
      <c r="CU466" s="128"/>
    </row>
    <row r="467" spans="2:99" ht="14.5" outlineLevel="1" thickBot="1">
      <c r="B467" s="132"/>
      <c r="C467" s="132" t="s">
        <v>500</v>
      </c>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47"/>
      <c r="AH467" s="128"/>
      <c r="AI467" s="128"/>
      <c r="AJ467" s="128"/>
      <c r="AK467" s="128"/>
      <c r="AL467" s="128"/>
      <c r="AM467" s="128"/>
      <c r="AN467" s="128"/>
      <c r="AO467" s="128"/>
      <c r="AP467" s="128"/>
      <c r="AQ467" s="128"/>
      <c r="AR467" s="128"/>
      <c r="AS467" s="128"/>
      <c r="AT467" s="128"/>
      <c r="AU467" s="128"/>
      <c r="AV467" s="128"/>
      <c r="AW467" s="128"/>
      <c r="AX467" s="128"/>
      <c r="AY467" s="128"/>
      <c r="AZ467" s="128"/>
      <c r="BA467" s="128"/>
      <c r="BB467" s="128"/>
      <c r="BC467" s="128"/>
      <c r="BD467" s="128"/>
      <c r="BE467" s="128"/>
      <c r="BF467" s="128"/>
      <c r="BG467" s="128"/>
      <c r="BH467" s="128"/>
      <c r="BI467" s="128"/>
      <c r="BJ467" s="128"/>
      <c r="BK467" s="128"/>
      <c r="BL467" s="128"/>
      <c r="BM467" s="128"/>
      <c r="BN467" s="128"/>
      <c r="BO467" s="128"/>
      <c r="BP467" s="128"/>
      <c r="BQ467" s="128"/>
      <c r="BR467" s="128"/>
      <c r="BS467" s="128"/>
      <c r="BT467" s="128"/>
      <c r="BU467" s="128"/>
      <c r="BV467" s="128"/>
      <c r="BW467" s="128"/>
      <c r="BX467" s="128"/>
      <c r="BY467" s="128"/>
      <c r="BZ467" s="128"/>
      <c r="CA467" s="128"/>
      <c r="CB467" s="128"/>
      <c r="CC467" s="128"/>
      <c r="CD467" s="128"/>
      <c r="CE467" s="128"/>
      <c r="CF467" s="128"/>
      <c r="CG467" s="128"/>
      <c r="CH467" s="128"/>
      <c r="CI467" s="128"/>
      <c r="CJ467" s="128"/>
      <c r="CK467" s="128"/>
      <c r="CL467" s="128"/>
      <c r="CM467" s="128"/>
      <c r="CN467" s="128"/>
      <c r="CO467" s="128"/>
      <c r="CP467" s="128"/>
      <c r="CQ467" s="128"/>
      <c r="CR467" s="128"/>
      <c r="CS467" s="128"/>
      <c r="CT467" s="128"/>
      <c r="CU467" s="128"/>
    </row>
    <row r="468" spans="2:99" ht="14.5" outlineLevel="1" thickBot="1">
      <c r="B468" s="186"/>
      <c r="C468" s="337" t="s">
        <v>501</v>
      </c>
      <c r="D468" s="338"/>
      <c r="E468" s="338"/>
      <c r="F468" s="346"/>
      <c r="G468" s="346"/>
      <c r="H468" s="150"/>
      <c r="I468" s="150">
        <f t="shared" ref="I468:AG468" si="176">I309</f>
        <v>2663.1642271062269</v>
      </c>
      <c r="J468" s="150">
        <f t="shared" si="176"/>
        <v>2663.1642271062269</v>
      </c>
      <c r="K468" s="150">
        <f t="shared" si="176"/>
        <v>2663.1642271062269</v>
      </c>
      <c r="L468" s="150">
        <f t="shared" si="176"/>
        <v>2663.1642271062269</v>
      </c>
      <c r="M468" s="150">
        <f t="shared" si="176"/>
        <v>2663.1642271062269</v>
      </c>
      <c r="N468" s="150">
        <f t="shared" si="176"/>
        <v>2663.1642271062269</v>
      </c>
      <c r="O468" s="150">
        <f t="shared" si="176"/>
        <v>2663.1642271062269</v>
      </c>
      <c r="P468" s="150">
        <f t="shared" si="176"/>
        <v>2663.1642271062269</v>
      </c>
      <c r="Q468" s="150">
        <f t="shared" si="176"/>
        <v>2663.1642271062269</v>
      </c>
      <c r="R468" s="150">
        <f t="shared" si="176"/>
        <v>2663.1642271062269</v>
      </c>
      <c r="S468" s="150">
        <f t="shared" si="176"/>
        <v>2663.1642271062269</v>
      </c>
      <c r="T468" s="150">
        <f t="shared" si="176"/>
        <v>2663.1642271062269</v>
      </c>
      <c r="U468" s="150">
        <f t="shared" si="176"/>
        <v>2663.1642271062269</v>
      </c>
      <c r="V468" s="150">
        <f t="shared" si="176"/>
        <v>2663.1642271062269</v>
      </c>
      <c r="W468" s="150">
        <f t="shared" si="176"/>
        <v>2663.1642271062269</v>
      </c>
      <c r="X468" s="150">
        <f t="shared" si="176"/>
        <v>1946.359984574269</v>
      </c>
      <c r="Y468" s="150">
        <f t="shared" si="176"/>
        <v>1946.359984574269</v>
      </c>
      <c r="Z468" s="150">
        <f t="shared" si="176"/>
        <v>1946.359984574269</v>
      </c>
      <c r="AA468" s="150">
        <f t="shared" si="176"/>
        <v>1946.359984574269</v>
      </c>
      <c r="AB468" s="150">
        <f t="shared" si="176"/>
        <v>1946.359984574269</v>
      </c>
      <c r="AC468" s="150">
        <f t="shared" si="176"/>
        <v>1946.359984574269</v>
      </c>
      <c r="AD468" s="150">
        <f t="shared" si="176"/>
        <v>1946.359984574269</v>
      </c>
      <c r="AE468" s="150">
        <f t="shared" si="176"/>
        <v>1946.359984574269</v>
      </c>
      <c r="AF468" s="150">
        <f t="shared" si="176"/>
        <v>1946.359984574269</v>
      </c>
      <c r="AG468" s="150">
        <f t="shared" si="176"/>
        <v>1946.359984574269</v>
      </c>
      <c r="AH468" s="128"/>
      <c r="AI468" s="128"/>
      <c r="AJ468" s="128"/>
      <c r="AK468" s="128"/>
      <c r="AL468" s="128"/>
      <c r="AM468" s="128"/>
      <c r="AN468" s="128"/>
      <c r="AO468" s="128"/>
      <c r="AP468" s="128"/>
      <c r="AQ468" s="128"/>
      <c r="AR468" s="128"/>
      <c r="AS468" s="128"/>
      <c r="AT468" s="128"/>
      <c r="AU468" s="128"/>
      <c r="AV468" s="128"/>
      <c r="AW468" s="128"/>
      <c r="AX468" s="128"/>
      <c r="AY468" s="128"/>
      <c r="AZ468" s="128"/>
      <c r="BA468" s="128"/>
      <c r="BB468" s="128"/>
      <c r="BC468" s="128"/>
      <c r="BD468" s="128"/>
      <c r="BE468" s="128"/>
      <c r="BF468" s="128"/>
      <c r="BG468" s="128"/>
      <c r="BH468" s="128"/>
      <c r="BI468" s="128"/>
      <c r="BJ468" s="128"/>
      <c r="BK468" s="128"/>
      <c r="BL468" s="128"/>
      <c r="BM468" s="128"/>
      <c r="BN468" s="128"/>
      <c r="BO468" s="128"/>
      <c r="BP468" s="128"/>
      <c r="BQ468" s="128"/>
      <c r="BR468" s="128"/>
      <c r="BS468" s="128"/>
      <c r="BT468" s="128"/>
      <c r="BU468" s="128"/>
      <c r="BV468" s="128"/>
      <c r="BW468" s="128"/>
      <c r="BX468" s="128"/>
      <c r="BY468" s="128"/>
      <c r="BZ468" s="128"/>
      <c r="CA468" s="128"/>
      <c r="CB468" s="128"/>
      <c r="CC468" s="128"/>
      <c r="CD468" s="128"/>
      <c r="CE468" s="128"/>
      <c r="CF468" s="128"/>
      <c r="CG468" s="128"/>
      <c r="CH468" s="128"/>
      <c r="CI468" s="128"/>
      <c r="CJ468" s="128"/>
      <c r="CK468" s="128"/>
      <c r="CL468" s="128"/>
      <c r="CM468" s="128"/>
      <c r="CN468" s="128"/>
      <c r="CO468" s="128"/>
      <c r="CP468" s="128"/>
      <c r="CQ468" s="128"/>
      <c r="CR468" s="128"/>
      <c r="CS468" s="128"/>
      <c r="CT468" s="128"/>
      <c r="CU468" s="128"/>
    </row>
    <row r="469" spans="2:99" ht="14.5" outlineLevel="1" thickBot="1">
      <c r="B469" s="186"/>
      <c r="C469" s="337" t="s">
        <v>502</v>
      </c>
      <c r="D469" s="338"/>
      <c r="E469" s="338"/>
      <c r="F469" s="346"/>
      <c r="G469" s="346"/>
      <c r="H469" s="150">
        <f>H148-H144-H70</f>
        <v>55590.735714285714</v>
      </c>
      <c r="I469" s="150">
        <f t="shared" ref="I469:AG469" si="177">IF(I2-$H$2&lt;=$D$18,H469-I468-I446,"")</f>
        <v>52927.571487179484</v>
      </c>
      <c r="J469" s="150">
        <f t="shared" si="177"/>
        <v>50264.407260073254</v>
      </c>
      <c r="K469" s="150">
        <f t="shared" si="177"/>
        <v>47601.243032967024</v>
      </c>
      <c r="L469" s="150">
        <f t="shared" si="177"/>
        <v>44938.078805860794</v>
      </c>
      <c r="M469" s="150">
        <f t="shared" si="177"/>
        <v>42274.914578754564</v>
      </c>
      <c r="N469" s="150">
        <f t="shared" si="177"/>
        <v>39611.750351648334</v>
      </c>
      <c r="O469" s="150">
        <f t="shared" si="177"/>
        <v>36948.586124542104</v>
      </c>
      <c r="P469" s="150">
        <f t="shared" si="177"/>
        <v>34285.421897435874</v>
      </c>
      <c r="Q469" s="150">
        <f t="shared" si="177"/>
        <v>31622.257670329647</v>
      </c>
      <c r="R469" s="150">
        <f t="shared" si="177"/>
        <v>28959.093443223421</v>
      </c>
      <c r="S469" s="150">
        <f t="shared" si="177"/>
        <v>26295.929216117194</v>
      </c>
      <c r="T469" s="150">
        <f t="shared" si="177"/>
        <v>23632.764989010968</v>
      </c>
      <c r="U469" s="150">
        <f t="shared" si="177"/>
        <v>20969.600761904741</v>
      </c>
      <c r="V469" s="150">
        <f t="shared" si="177"/>
        <v>18306.436534798515</v>
      </c>
      <c r="W469" s="150">
        <f t="shared" si="177"/>
        <v>21748.351526855775</v>
      </c>
      <c r="X469" s="150">
        <f t="shared" si="177"/>
        <v>19801.991542281507</v>
      </c>
      <c r="Y469" s="150">
        <f t="shared" si="177"/>
        <v>17855.631557707238</v>
      </c>
      <c r="Z469" s="150">
        <f t="shared" si="177"/>
        <v>15909.27157313297</v>
      </c>
      <c r="AA469" s="150">
        <f t="shared" si="177"/>
        <v>13962.911588558702</v>
      </c>
      <c r="AB469" s="150">
        <f t="shared" si="177"/>
        <v>12016.551603984433</v>
      </c>
      <c r="AC469" s="150">
        <f t="shared" si="177"/>
        <v>10070.191619410165</v>
      </c>
      <c r="AD469" s="150">
        <f t="shared" si="177"/>
        <v>8123.8316348358958</v>
      </c>
      <c r="AE469" s="150">
        <f t="shared" si="177"/>
        <v>6177.4716502616266</v>
      </c>
      <c r="AF469" s="150">
        <f t="shared" si="177"/>
        <v>4231.1116656873573</v>
      </c>
      <c r="AG469" s="150">
        <f t="shared" si="177"/>
        <v>2284.7516811130881</v>
      </c>
      <c r="AH469" s="128"/>
      <c r="AI469" s="128"/>
      <c r="AJ469" s="128"/>
      <c r="AK469" s="128"/>
      <c r="AL469" s="128"/>
      <c r="AM469" s="128"/>
      <c r="AN469" s="128"/>
      <c r="AO469" s="128"/>
      <c r="AP469" s="128"/>
      <c r="AQ469" s="128"/>
      <c r="AR469" s="128"/>
      <c r="AS469" s="128"/>
      <c r="AT469" s="128"/>
      <c r="AU469" s="128"/>
      <c r="AV469" s="128"/>
      <c r="AW469" s="128"/>
      <c r="AX469" s="128"/>
      <c r="AY469" s="128"/>
      <c r="AZ469" s="128"/>
      <c r="BA469" s="128"/>
      <c r="BB469" s="128"/>
      <c r="BC469" s="128"/>
      <c r="BD469" s="128"/>
      <c r="BE469" s="128"/>
      <c r="BF469" s="128"/>
      <c r="BG469" s="128"/>
      <c r="BH469" s="128"/>
      <c r="BI469" s="128"/>
      <c r="BJ469" s="128"/>
      <c r="BK469" s="128"/>
      <c r="BL469" s="128"/>
      <c r="BM469" s="128"/>
      <c r="BN469" s="128"/>
      <c r="BO469" s="128"/>
      <c r="BP469" s="128"/>
      <c r="BQ469" s="128"/>
      <c r="BR469" s="128"/>
      <c r="BS469" s="128"/>
      <c r="BT469" s="128"/>
      <c r="BU469" s="128"/>
      <c r="BV469" s="128"/>
      <c r="BW469" s="128"/>
      <c r="BX469" s="128"/>
      <c r="BY469" s="128"/>
      <c r="BZ469" s="128"/>
      <c r="CA469" s="128"/>
      <c r="CB469" s="128"/>
      <c r="CC469" s="128"/>
      <c r="CD469" s="128"/>
      <c r="CE469" s="128"/>
      <c r="CF469" s="128"/>
      <c r="CG469" s="128"/>
      <c r="CH469" s="128"/>
      <c r="CI469" s="128"/>
      <c r="CJ469" s="128"/>
      <c r="CK469" s="128"/>
      <c r="CL469" s="128"/>
      <c r="CM469" s="128"/>
      <c r="CN469" s="128"/>
      <c r="CO469" s="128"/>
      <c r="CP469" s="128"/>
      <c r="CQ469" s="128"/>
      <c r="CR469" s="128"/>
      <c r="CS469" s="128"/>
      <c r="CT469" s="128"/>
      <c r="CU469" s="128"/>
    </row>
    <row r="470" spans="2:99" ht="14.5" outlineLevel="1" thickBot="1">
      <c r="B470" s="186"/>
      <c r="C470" s="337" t="s">
        <v>503</v>
      </c>
      <c r="D470" s="338"/>
      <c r="E470" s="338"/>
      <c r="F470" s="346"/>
      <c r="G470" s="346"/>
      <c r="H470" s="150"/>
      <c r="I470" s="150">
        <f ca="1">I459</f>
        <v>-4593.8675149748597</v>
      </c>
      <c r="J470" s="150">
        <f t="shared" ref="J470:AG470" ca="1" si="178">I470+J459</f>
        <v>-9667.4018831752492</v>
      </c>
      <c r="K470" s="150">
        <f t="shared" ca="1" si="178"/>
        <v>-15258.243676172198</v>
      </c>
      <c r="L470" s="150">
        <f t="shared" ca="1" si="178"/>
        <v>-21408.325090829785</v>
      </c>
      <c r="M470" s="150">
        <f t="shared" ca="1" si="178"/>
        <v>-28164.379400604925</v>
      </c>
      <c r="N470" s="150">
        <f t="shared" ca="1" si="178"/>
        <v>-26936.749477070167</v>
      </c>
      <c r="O470" s="150">
        <f t="shared" ca="1" si="178"/>
        <v>-25906.806781933847</v>
      </c>
      <c r="P470" s="150">
        <f t="shared" ca="1" si="178"/>
        <v>-25077.171620802197</v>
      </c>
      <c r="Q470" s="150">
        <f t="shared" ca="1" si="178"/>
        <v>-24450.524706027332</v>
      </c>
      <c r="R470" s="150">
        <f t="shared" ca="1" si="178"/>
        <v>-24029.608316838905</v>
      </c>
      <c r="S470" s="150">
        <f t="shared" ca="1" si="178"/>
        <v>-23817.22748296534</v>
      </c>
      <c r="T470" s="150">
        <f t="shared" ca="1" si="178"/>
        <v>-23816.251192214324</v>
      </c>
      <c r="U470" s="150">
        <f t="shared" ca="1" si="178"/>
        <v>-24029.613622489502</v>
      </c>
      <c r="V470" s="150">
        <f t="shared" ca="1" si="178"/>
        <v>-24460.315398730334</v>
      </c>
      <c r="W470" s="150">
        <f t="shared" ca="1" si="178"/>
        <v>-31216.504094435448</v>
      </c>
      <c r="X470" s="150">
        <f t="shared" ca="1" si="178"/>
        <v>-32091.158663192738</v>
      </c>
      <c r="Y470" s="150">
        <f t="shared" ca="1" si="178"/>
        <v>-33192.5660886978</v>
      </c>
      <c r="Z470" s="150">
        <f t="shared" ca="1" si="178"/>
        <v>-34524.005869493347</v>
      </c>
      <c r="AA470" s="150">
        <f t="shared" ca="1" si="178"/>
        <v>-36088.830627444513</v>
      </c>
      <c r="AB470" s="150">
        <f t="shared" ca="1" si="178"/>
        <v>-37890.467525005173</v>
      </c>
      <c r="AC470" s="150">
        <f t="shared" ca="1" si="178"/>
        <v>-39932.419711100811</v>
      </c>
      <c r="AD470" s="150">
        <f t="shared" ca="1" si="178"/>
        <v>-42218.267796198619</v>
      </c>
      <c r="AE470" s="150">
        <f t="shared" ca="1" si="178"/>
        <v>-45754.808772465418</v>
      </c>
      <c r="AF470" s="150">
        <f t="shared" ca="1" si="178"/>
        <v>-49536.626478522958</v>
      </c>
      <c r="AG470" s="150">
        <f t="shared" ca="1" si="178"/>
        <v>-53567.579173505466</v>
      </c>
      <c r="AH470" s="128"/>
      <c r="AI470" s="128"/>
      <c r="AJ470" s="128"/>
      <c r="AK470" s="128"/>
      <c r="AL470" s="128"/>
      <c r="AM470" s="128"/>
      <c r="AN470" s="128"/>
      <c r="AO470" s="128"/>
      <c r="AP470" s="128"/>
      <c r="AQ470" s="128"/>
      <c r="AR470" s="128"/>
      <c r="AS470" s="128"/>
      <c r="AT470" s="128"/>
      <c r="AU470" s="128"/>
      <c r="AV470" s="128"/>
      <c r="AW470" s="128"/>
      <c r="AX470" s="128"/>
      <c r="AY470" s="128"/>
      <c r="AZ470" s="128"/>
      <c r="BA470" s="128"/>
      <c r="BB470" s="128"/>
      <c r="BC470" s="128"/>
      <c r="BD470" s="128"/>
      <c r="BE470" s="128"/>
      <c r="BF470" s="128"/>
      <c r="BG470" s="128"/>
      <c r="BH470" s="128"/>
      <c r="BI470" s="128"/>
      <c r="BJ470" s="128"/>
      <c r="BK470" s="128"/>
      <c r="BL470" s="128"/>
      <c r="BM470" s="128"/>
      <c r="BN470" s="128"/>
      <c r="BO470" s="128"/>
      <c r="BP470" s="128"/>
      <c r="BQ470" s="128"/>
      <c r="BR470" s="128"/>
      <c r="BS470" s="128"/>
      <c r="BT470" s="128"/>
      <c r="BU470" s="128"/>
      <c r="BV470" s="128"/>
      <c r="BW470" s="128"/>
      <c r="BX470" s="128"/>
      <c r="BY470" s="128"/>
      <c r="BZ470" s="128"/>
      <c r="CA470" s="128"/>
      <c r="CB470" s="128"/>
      <c r="CC470" s="128"/>
      <c r="CD470" s="128"/>
      <c r="CE470" s="128"/>
      <c r="CF470" s="128"/>
      <c r="CG470" s="128"/>
      <c r="CH470" s="128"/>
      <c r="CI470" s="128"/>
      <c r="CJ470" s="128"/>
      <c r="CK470" s="128"/>
      <c r="CL470" s="128"/>
      <c r="CM470" s="128"/>
      <c r="CN470" s="128"/>
      <c r="CO470" s="128"/>
      <c r="CP470" s="128"/>
      <c r="CQ470" s="128"/>
      <c r="CR470" s="128"/>
      <c r="CS470" s="128"/>
      <c r="CT470" s="128"/>
      <c r="CU470" s="128"/>
    </row>
    <row r="471" spans="2:99" ht="15" outlineLevel="1" thickTop="1" thickBot="1">
      <c r="B471" s="292"/>
      <c r="C471" s="293" t="s">
        <v>504</v>
      </c>
      <c r="D471" s="294"/>
      <c r="E471" s="294"/>
      <c r="F471" s="375"/>
      <c r="G471" s="341"/>
      <c r="H471" s="271">
        <f>SUM(H469:H470)</f>
        <v>55590.735714285714</v>
      </c>
      <c r="I471" s="271">
        <f t="shared" ref="I471:AG471" ca="1" si="179">IF(I1&lt;=$D$18,SUM(I469:I470),0)</f>
        <v>48333.703972204625</v>
      </c>
      <c r="J471" s="271">
        <f t="shared" ca="1" si="179"/>
        <v>40597.005376898007</v>
      </c>
      <c r="K471" s="271">
        <f t="shared" ca="1" si="179"/>
        <v>32342.999356794826</v>
      </c>
      <c r="L471" s="271">
        <f t="shared" ca="1" si="179"/>
        <v>23529.753715031009</v>
      </c>
      <c r="M471" s="271">
        <f t="shared" ca="1" si="179"/>
        <v>14110.535178149639</v>
      </c>
      <c r="N471" s="271">
        <f t="shared" ca="1" si="179"/>
        <v>12675.000874578167</v>
      </c>
      <c r="O471" s="271">
        <f t="shared" ca="1" si="179"/>
        <v>11041.779342608257</v>
      </c>
      <c r="P471" s="271">
        <f t="shared" ca="1" si="179"/>
        <v>9208.2502766336765</v>
      </c>
      <c r="Q471" s="271">
        <f t="shared" ca="1" si="179"/>
        <v>7171.7329643023149</v>
      </c>
      <c r="R471" s="271">
        <f t="shared" ca="1" si="179"/>
        <v>4929.4851263845158</v>
      </c>
      <c r="S471" s="271">
        <f t="shared" ca="1" si="179"/>
        <v>2478.7017331518546</v>
      </c>
      <c r="T471" s="271">
        <f t="shared" ca="1" si="179"/>
        <v>-183.48620320335613</v>
      </c>
      <c r="U471" s="271">
        <f t="shared" ca="1" si="179"/>
        <v>-3060.0128605847603</v>
      </c>
      <c r="V471" s="271">
        <f t="shared" ca="1" si="179"/>
        <v>-6153.8788639318191</v>
      </c>
      <c r="W471" s="271">
        <f t="shared" ca="1" si="179"/>
        <v>-9468.1525675796729</v>
      </c>
      <c r="X471" s="271">
        <f t="shared" ca="1" si="179"/>
        <v>-12289.167120911232</v>
      </c>
      <c r="Y471" s="271">
        <f t="shared" ca="1" si="179"/>
        <v>-15336.934530990562</v>
      </c>
      <c r="Z471" s="271">
        <f t="shared" ca="1" si="179"/>
        <v>-18614.734296360377</v>
      </c>
      <c r="AA471" s="271">
        <f t="shared" ca="1" si="179"/>
        <v>-22125.919038885811</v>
      </c>
      <c r="AB471" s="271">
        <f t="shared" ca="1" si="179"/>
        <v>-25873.91592102074</v>
      </c>
      <c r="AC471" s="271">
        <f t="shared" ca="1" si="179"/>
        <v>-29862.228091690646</v>
      </c>
      <c r="AD471" s="271">
        <f t="shared" ca="1" si="179"/>
        <v>-34094.436161362726</v>
      </c>
      <c r="AE471" s="271">
        <f t="shared" ca="1" si="179"/>
        <v>-39577.337122203789</v>
      </c>
      <c r="AF471" s="271">
        <f t="shared" ca="1" si="179"/>
        <v>-45305.514812835601</v>
      </c>
      <c r="AG471" s="271">
        <f t="shared" ca="1" si="179"/>
        <v>-51282.827492392375</v>
      </c>
      <c r="AH471" s="128"/>
      <c r="AI471" s="128"/>
      <c r="AJ471" s="128"/>
      <c r="AK471" s="128"/>
      <c r="AL471" s="128"/>
      <c r="AM471" s="128"/>
      <c r="AN471" s="128"/>
      <c r="AO471" s="128"/>
      <c r="AP471" s="128"/>
      <c r="AQ471" s="128"/>
      <c r="AR471" s="128"/>
      <c r="AS471" s="128"/>
      <c r="AT471" s="128"/>
      <c r="AU471" s="128"/>
      <c r="AV471" s="128"/>
      <c r="AW471" s="128"/>
      <c r="AX471" s="128"/>
      <c r="AY471" s="128"/>
      <c r="AZ471" s="128"/>
      <c r="BA471" s="128"/>
      <c r="BB471" s="128"/>
      <c r="BC471" s="128"/>
      <c r="BD471" s="128"/>
      <c r="BE471" s="128"/>
      <c r="BF471" s="128"/>
      <c r="BG471" s="128"/>
      <c r="BH471" s="128"/>
      <c r="BI471" s="128"/>
      <c r="BJ471" s="128"/>
      <c r="BK471" s="128"/>
      <c r="BL471" s="128"/>
      <c r="BM471" s="128"/>
      <c r="BN471" s="128"/>
      <c r="BO471" s="128"/>
      <c r="BP471" s="128"/>
      <c r="BQ471" s="128"/>
      <c r="BR471" s="128"/>
      <c r="BS471" s="128"/>
      <c r="BT471" s="128"/>
      <c r="BU471" s="128"/>
      <c r="BV471" s="128"/>
      <c r="BW471" s="128"/>
      <c r="BX471" s="128"/>
      <c r="BY471" s="128"/>
      <c r="BZ471" s="128"/>
      <c r="CA471" s="128"/>
      <c r="CB471" s="128"/>
      <c r="CC471" s="128"/>
      <c r="CD471" s="128"/>
      <c r="CE471" s="128"/>
      <c r="CF471" s="128"/>
      <c r="CG471" s="128"/>
      <c r="CH471" s="128"/>
      <c r="CI471" s="128"/>
      <c r="CJ471" s="128"/>
      <c r="CK471" s="128"/>
      <c r="CL471" s="128"/>
      <c r="CM471" s="128"/>
      <c r="CN471" s="128"/>
      <c r="CO471" s="128"/>
      <c r="CP471" s="128"/>
      <c r="CQ471" s="128"/>
      <c r="CR471" s="128"/>
      <c r="CS471" s="128"/>
      <c r="CT471" s="128"/>
      <c r="CU471" s="128"/>
    </row>
    <row r="472" spans="2:99" ht="18.75" customHeight="1" outlineLevel="1" thickTop="1" thickBot="1">
      <c r="F472" s="128"/>
      <c r="I472" s="340"/>
      <c r="J472" s="340"/>
      <c r="K472" s="340"/>
      <c r="L472" s="340"/>
      <c r="M472" s="340"/>
      <c r="N472" s="340"/>
      <c r="O472" s="340"/>
      <c r="P472" s="340"/>
      <c r="Q472" s="340"/>
      <c r="R472" s="340"/>
      <c r="S472" s="340"/>
      <c r="T472" s="340"/>
      <c r="U472" s="340"/>
      <c r="V472" s="340"/>
      <c r="W472" s="340"/>
      <c r="X472" s="340"/>
      <c r="Y472" s="340"/>
      <c r="Z472" s="340"/>
      <c r="AA472" s="340"/>
      <c r="AB472" s="340"/>
      <c r="AC472" s="340"/>
      <c r="AD472" s="340"/>
      <c r="AE472" s="340"/>
      <c r="AF472" s="340"/>
      <c r="AG472" s="340"/>
      <c r="AH472" s="128"/>
      <c r="AI472" s="128"/>
      <c r="AJ472" s="128"/>
      <c r="AK472" s="128"/>
      <c r="AL472" s="128"/>
      <c r="AM472" s="128"/>
      <c r="AN472" s="128"/>
      <c r="AO472" s="128"/>
      <c r="AP472" s="128"/>
      <c r="AQ472" s="128"/>
      <c r="AR472" s="128"/>
      <c r="AS472" s="128"/>
      <c r="AT472" s="128"/>
      <c r="AU472" s="128"/>
      <c r="AV472" s="128"/>
      <c r="AW472" s="128"/>
      <c r="AX472" s="128"/>
      <c r="AY472" s="128"/>
      <c r="AZ472" s="128"/>
      <c r="BA472" s="128"/>
      <c r="BB472" s="128"/>
      <c r="BC472" s="128"/>
      <c r="BD472" s="128"/>
      <c r="BE472" s="128"/>
      <c r="BF472" s="128"/>
      <c r="BG472" s="128"/>
      <c r="BH472" s="128"/>
      <c r="BI472" s="128"/>
      <c r="BJ472" s="128"/>
      <c r="BK472" s="128"/>
      <c r="BL472" s="128"/>
      <c r="BM472" s="128"/>
      <c r="BN472" s="128"/>
      <c r="BO472" s="128"/>
      <c r="BP472" s="128"/>
      <c r="BQ472" s="128"/>
      <c r="BR472" s="128"/>
      <c r="BS472" s="128"/>
      <c r="BT472" s="128"/>
      <c r="BU472" s="128"/>
      <c r="BV472" s="128"/>
      <c r="BW472" s="128"/>
      <c r="BX472" s="128"/>
      <c r="BY472" s="128"/>
      <c r="BZ472" s="128"/>
      <c r="CA472" s="128"/>
      <c r="CB472" s="128"/>
      <c r="CC472" s="128"/>
      <c r="CD472" s="128"/>
      <c r="CE472" s="128"/>
      <c r="CF472" s="128"/>
      <c r="CG472" s="128"/>
      <c r="CH472" s="128"/>
      <c r="CI472" s="128"/>
      <c r="CJ472" s="128"/>
      <c r="CK472" s="128"/>
      <c r="CL472" s="128"/>
      <c r="CM472" s="128"/>
      <c r="CN472" s="128"/>
      <c r="CO472" s="128"/>
      <c r="CP472" s="128"/>
      <c r="CQ472" s="128"/>
      <c r="CR472" s="128"/>
      <c r="CS472" s="128"/>
      <c r="CT472" s="128"/>
      <c r="CU472" s="128"/>
    </row>
    <row r="473" spans="2:99" ht="14.5" outlineLevel="1" thickBot="1">
      <c r="B473" s="132"/>
      <c r="C473" s="132" t="s">
        <v>505</v>
      </c>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47"/>
      <c r="AH473" s="128"/>
      <c r="AI473" s="128"/>
      <c r="AJ473" s="128"/>
      <c r="AK473" s="128"/>
      <c r="AL473" s="128"/>
      <c r="AM473" s="128"/>
      <c r="AN473" s="128"/>
      <c r="AO473" s="128"/>
      <c r="AP473" s="128"/>
      <c r="AQ473" s="128"/>
      <c r="AR473" s="128"/>
      <c r="AS473" s="128"/>
      <c r="AT473" s="128"/>
      <c r="AU473" s="128"/>
      <c r="AV473" s="128"/>
      <c r="AW473" s="128"/>
      <c r="AX473" s="128"/>
      <c r="AY473" s="128"/>
      <c r="AZ473" s="128"/>
      <c r="BA473" s="128"/>
      <c r="BB473" s="128"/>
      <c r="BC473" s="128"/>
      <c r="BD473" s="128"/>
      <c r="BE473" s="128"/>
      <c r="BF473" s="128"/>
      <c r="BG473" s="128"/>
      <c r="BH473" s="128"/>
      <c r="BI473" s="128"/>
      <c r="BJ473" s="128"/>
      <c r="BK473" s="128"/>
      <c r="BL473" s="128"/>
      <c r="BM473" s="128"/>
      <c r="BN473" s="128"/>
      <c r="BO473" s="128"/>
      <c r="BP473" s="128"/>
      <c r="BQ473" s="128"/>
      <c r="BR473" s="128"/>
      <c r="BS473" s="128"/>
      <c r="BT473" s="128"/>
      <c r="BU473" s="128"/>
      <c r="BV473" s="128"/>
      <c r="BW473" s="128"/>
      <c r="BX473" s="128"/>
      <c r="BY473" s="128"/>
      <c r="BZ473" s="128"/>
      <c r="CA473" s="128"/>
      <c r="CB473" s="128"/>
      <c r="CC473" s="128"/>
      <c r="CD473" s="128"/>
      <c r="CE473" s="128"/>
      <c r="CF473" s="128"/>
      <c r="CG473" s="128"/>
      <c r="CH473" s="128"/>
      <c r="CI473" s="128"/>
      <c r="CJ473" s="128"/>
      <c r="CK473" s="128"/>
      <c r="CL473" s="128"/>
      <c r="CM473" s="128"/>
      <c r="CN473" s="128"/>
      <c r="CO473" s="128"/>
      <c r="CP473" s="128"/>
      <c r="CQ473" s="128"/>
      <c r="CR473" s="128"/>
      <c r="CS473" s="128"/>
      <c r="CT473" s="128"/>
      <c r="CU473" s="128"/>
    </row>
    <row r="474" spans="2:99" ht="14.5" outlineLevel="1" thickBot="1">
      <c r="B474" s="186"/>
      <c r="C474" s="337" t="s">
        <v>506</v>
      </c>
      <c r="D474" s="338"/>
      <c r="E474" s="338"/>
      <c r="F474" s="346"/>
      <c r="G474" s="346"/>
      <c r="H474" s="150">
        <f>H152+H153+H154-H70-H144</f>
        <v>24439.117857142857</v>
      </c>
      <c r="I474" s="150">
        <f>H474+I427</f>
        <v>26308.214928571429</v>
      </c>
      <c r="J474" s="150">
        <f ca="1">I474+J427</f>
        <v>27883.097931014629</v>
      </c>
      <c r="K474" s="150">
        <f t="shared" ref="K474:AG474" ca="1" si="180">J474+K427</f>
        <v>29128.461176194214</v>
      </c>
      <c r="L474" s="150">
        <f t="shared" ca="1" si="180"/>
        <v>30004.762293238549</v>
      </c>
      <c r="M474" s="150">
        <f t="shared" ca="1" si="180"/>
        <v>30467.713826771407</v>
      </c>
      <c r="N474" s="150">
        <f t="shared" ca="1" si="180"/>
        <v>30467.713826771407</v>
      </c>
      <c r="O474" s="150">
        <f t="shared" ca="1" si="180"/>
        <v>30467.713826771407</v>
      </c>
      <c r="P474" s="150">
        <f t="shared" ca="1" si="180"/>
        <v>30467.713826771407</v>
      </c>
      <c r="Q474" s="150">
        <f t="shared" ca="1" si="180"/>
        <v>30467.713826771407</v>
      </c>
      <c r="R474" s="150">
        <f t="shared" ca="1" si="180"/>
        <v>30467.713826771407</v>
      </c>
      <c r="S474" s="150">
        <f t="shared" ca="1" si="180"/>
        <v>30467.713826771407</v>
      </c>
      <c r="T474" s="150">
        <f t="shared" ca="1" si="180"/>
        <v>30467.713826771407</v>
      </c>
      <c r="U474" s="150">
        <f t="shared" ca="1" si="180"/>
        <v>30467.713826771407</v>
      </c>
      <c r="V474" s="150">
        <f t="shared" ca="1" si="180"/>
        <v>30467.713826771407</v>
      </c>
      <c r="W474" s="150">
        <f t="shared" ca="1" si="180"/>
        <v>30467.713826771407</v>
      </c>
      <c r="X474" s="150">
        <f t="shared" ca="1" si="180"/>
        <v>30467.713826771407</v>
      </c>
      <c r="Y474" s="150">
        <f t="shared" ca="1" si="180"/>
        <v>30467.713826771407</v>
      </c>
      <c r="Z474" s="150">
        <f t="shared" ca="1" si="180"/>
        <v>30467.713826771407</v>
      </c>
      <c r="AA474" s="150">
        <f t="shared" ca="1" si="180"/>
        <v>30467.713826771407</v>
      </c>
      <c r="AB474" s="150">
        <f t="shared" ca="1" si="180"/>
        <v>30467.713826771407</v>
      </c>
      <c r="AC474" s="150">
        <f t="shared" ca="1" si="180"/>
        <v>30467.713826771407</v>
      </c>
      <c r="AD474" s="150">
        <f t="shared" ca="1" si="180"/>
        <v>30467.713826771407</v>
      </c>
      <c r="AE474" s="150">
        <f t="shared" ca="1" si="180"/>
        <v>30467.713826771407</v>
      </c>
      <c r="AF474" s="150">
        <f t="shared" ca="1" si="180"/>
        <v>30467.713826771407</v>
      </c>
      <c r="AG474" s="150">
        <f t="shared" ca="1" si="180"/>
        <v>30467.713826771407</v>
      </c>
      <c r="AH474" s="128"/>
      <c r="AI474" s="128"/>
      <c r="AJ474" s="128"/>
      <c r="AK474" s="128"/>
      <c r="AL474" s="128"/>
      <c r="AM474" s="128"/>
      <c r="AN474" s="128"/>
      <c r="AO474" s="128"/>
      <c r="AP474" s="128"/>
      <c r="AQ474" s="128"/>
      <c r="AR474" s="128"/>
      <c r="AS474" s="128"/>
      <c r="AT474" s="128"/>
      <c r="AU474" s="128"/>
      <c r="AV474" s="128"/>
      <c r="AW474" s="128"/>
      <c r="AX474" s="128"/>
      <c r="AY474" s="128"/>
      <c r="AZ474" s="128"/>
      <c r="BA474" s="128"/>
      <c r="BB474" s="128"/>
      <c r="BC474" s="128"/>
      <c r="BD474" s="128"/>
      <c r="BE474" s="128"/>
      <c r="BF474" s="128"/>
      <c r="BG474" s="128"/>
      <c r="BH474" s="128"/>
      <c r="BI474" s="128"/>
      <c r="BJ474" s="128"/>
      <c r="BK474" s="128"/>
      <c r="BL474" s="128"/>
      <c r="BM474" s="128"/>
      <c r="BN474" s="128"/>
      <c r="BO474" s="128"/>
      <c r="BP474" s="128"/>
      <c r="BQ474" s="128"/>
      <c r="BR474" s="128"/>
      <c r="BS474" s="128"/>
      <c r="BT474" s="128"/>
      <c r="BU474" s="128"/>
      <c r="BV474" s="128"/>
      <c r="BW474" s="128"/>
      <c r="BX474" s="128"/>
      <c r="BY474" s="128"/>
      <c r="BZ474" s="128"/>
      <c r="CA474" s="128"/>
      <c r="CB474" s="128"/>
      <c r="CC474" s="128"/>
      <c r="CD474" s="128"/>
      <c r="CE474" s="128"/>
      <c r="CF474" s="128"/>
      <c r="CG474" s="128"/>
      <c r="CH474" s="128"/>
      <c r="CI474" s="128"/>
      <c r="CJ474" s="128"/>
      <c r="CK474" s="128"/>
      <c r="CL474" s="128"/>
      <c r="CM474" s="128"/>
      <c r="CN474" s="128"/>
      <c r="CO474" s="128"/>
      <c r="CP474" s="128"/>
      <c r="CQ474" s="128"/>
      <c r="CR474" s="128"/>
      <c r="CS474" s="128"/>
      <c r="CT474" s="128"/>
      <c r="CU474" s="128"/>
    </row>
    <row r="475" spans="2:99" ht="14.5" outlineLevel="1" thickBot="1">
      <c r="B475" s="186"/>
      <c r="C475" s="337" t="s">
        <v>507</v>
      </c>
      <c r="D475" s="338"/>
      <c r="E475" s="338"/>
      <c r="F475" s="346"/>
      <c r="G475" s="179"/>
      <c r="H475" s="150"/>
      <c r="I475" s="150"/>
      <c r="J475" s="150">
        <f t="shared" ref="J475:AG475" si="181">I475+I476</f>
        <v>-4222.5609970868081</v>
      </c>
      <c r="K475" s="150">
        <f t="shared" ca="1" si="181"/>
        <v>-8042.1466404430339</v>
      </c>
      <c r="L475" s="150">
        <f t="shared" ca="1" si="181"/>
        <v>-11390.480436804974</v>
      </c>
      <c r="M475" s="150">
        <f t="shared" ca="1" si="181"/>
        <v>-14190.867470421803</v>
      </c>
      <c r="N475" s="150">
        <f t="shared" ca="1" si="181"/>
        <v>-16357.178648621746</v>
      </c>
      <c r="O475" s="150">
        <f t="shared" ca="1" si="181"/>
        <v>-17792.712952193215</v>
      </c>
      <c r="P475" s="150">
        <f t="shared" ca="1" si="181"/>
        <v>-19425.934484163125</v>
      </c>
      <c r="Q475" s="150">
        <f t="shared" ca="1" si="181"/>
        <v>-21259.463550137702</v>
      </c>
      <c r="R475" s="150">
        <f t="shared" ca="1" si="181"/>
        <v>-23295.980862469063</v>
      </c>
      <c r="S475" s="150">
        <f t="shared" ca="1" si="181"/>
        <v>-25538.228700386862</v>
      </c>
      <c r="T475" s="150">
        <f t="shared" ca="1" si="181"/>
        <v>-27989.012093619524</v>
      </c>
      <c r="U475" s="150">
        <f t="shared" ca="1" si="181"/>
        <v>-30651.200029974738</v>
      </c>
      <c r="V475" s="150">
        <f t="shared" ca="1" si="181"/>
        <v>-33527.726687356146</v>
      </c>
      <c r="W475" s="150">
        <f t="shared" ca="1" si="181"/>
        <v>-36621.592690703204</v>
      </c>
      <c r="X475" s="150">
        <f t="shared" ca="1" si="181"/>
        <v>-39935.866394351062</v>
      </c>
      <c r="Y475" s="150">
        <f t="shared" ca="1" si="181"/>
        <v>-42756.880947682621</v>
      </c>
      <c r="Z475" s="150">
        <f t="shared" ca="1" si="181"/>
        <v>-45804.648357761951</v>
      </c>
      <c r="AA475" s="150">
        <f t="shared" ca="1" si="181"/>
        <v>-49082.44812313177</v>
      </c>
      <c r="AB475" s="150">
        <f t="shared" ca="1" si="181"/>
        <v>-52593.632865657208</v>
      </c>
      <c r="AC475" s="150">
        <f t="shared" ca="1" si="181"/>
        <v>-56341.629747792133</v>
      </c>
      <c r="AD475" s="150">
        <f t="shared" ca="1" si="181"/>
        <v>-56341.62974779214</v>
      </c>
      <c r="AE475" s="150">
        <f t="shared" ca="1" si="181"/>
        <v>-56341.629747792147</v>
      </c>
      <c r="AF475" s="150">
        <f t="shared" ca="1" si="181"/>
        <v>-56341.629747792154</v>
      </c>
      <c r="AG475" s="150">
        <f t="shared" ca="1" si="181"/>
        <v>-56341.629747792162</v>
      </c>
      <c r="AH475" s="128"/>
      <c r="AI475" s="128"/>
      <c r="AJ475" s="128"/>
      <c r="AK475" s="128"/>
      <c r="AL475" s="128"/>
      <c r="AM475" s="128"/>
      <c r="AN475" s="128"/>
      <c r="AO475" s="128"/>
      <c r="AP475" s="128"/>
      <c r="AQ475" s="128"/>
      <c r="AR475" s="128"/>
      <c r="AS475" s="128"/>
      <c r="AT475" s="128"/>
      <c r="AU475" s="128"/>
      <c r="AV475" s="128"/>
      <c r="AW475" s="128"/>
      <c r="AX475" s="128"/>
      <c r="AY475" s="128"/>
      <c r="AZ475" s="128"/>
      <c r="BA475" s="128"/>
      <c r="BB475" s="128"/>
      <c r="BC475" s="128"/>
      <c r="BD475" s="128"/>
      <c r="BE475" s="128"/>
      <c r="BF475" s="128"/>
      <c r="BG475" s="128"/>
      <c r="BH475" s="128"/>
      <c r="BI475" s="128"/>
      <c r="BJ475" s="128"/>
      <c r="BK475" s="128"/>
      <c r="BL475" s="128"/>
      <c r="BM475" s="128"/>
      <c r="BN475" s="128"/>
      <c r="BO475" s="128"/>
      <c r="BP475" s="128"/>
      <c r="BQ475" s="128"/>
      <c r="BR475" s="128"/>
      <c r="BS475" s="128"/>
      <c r="BT475" s="128"/>
      <c r="BU475" s="128"/>
      <c r="BV475" s="128"/>
      <c r="BW475" s="128"/>
      <c r="BX475" s="128"/>
      <c r="BY475" s="128"/>
      <c r="BZ475" s="128"/>
      <c r="CA475" s="128"/>
      <c r="CB475" s="128"/>
      <c r="CC475" s="128"/>
      <c r="CD475" s="128"/>
      <c r="CE475" s="128"/>
      <c r="CF475" s="128"/>
      <c r="CG475" s="128"/>
      <c r="CH475" s="128"/>
      <c r="CI475" s="128"/>
      <c r="CJ475" s="128"/>
      <c r="CK475" s="128"/>
      <c r="CL475" s="128"/>
      <c r="CM475" s="128"/>
      <c r="CN475" s="128"/>
      <c r="CO475" s="128"/>
      <c r="CP475" s="128"/>
      <c r="CQ475" s="128"/>
      <c r="CR475" s="128"/>
      <c r="CS475" s="128"/>
      <c r="CT475" s="128"/>
      <c r="CU475" s="128"/>
    </row>
    <row r="476" spans="2:99" ht="14.5" outlineLevel="1" thickBot="1">
      <c r="B476" s="186"/>
      <c r="C476" s="337" t="s">
        <v>508</v>
      </c>
      <c r="D476" s="338"/>
      <c r="E476" s="338"/>
      <c r="F476" s="346"/>
      <c r="G476" s="179"/>
      <c r="H476" s="150"/>
      <c r="I476" s="150">
        <f t="shared" ref="I476:AB476" si="182">I416</f>
        <v>-4222.5609970868081</v>
      </c>
      <c r="J476" s="150">
        <f t="shared" ca="1" si="182"/>
        <v>-3819.5856433562253</v>
      </c>
      <c r="K476" s="150">
        <f t="shared" ca="1" si="182"/>
        <v>-3348.3337963619388</v>
      </c>
      <c r="L476" s="150">
        <f t="shared" ca="1" si="182"/>
        <v>-2800.3870336168284</v>
      </c>
      <c r="M476" s="150">
        <f t="shared" ca="1" si="182"/>
        <v>-2166.3111781999437</v>
      </c>
      <c r="N476" s="150">
        <f t="shared" ca="1" si="182"/>
        <v>-1435.5343035714686</v>
      </c>
      <c r="O476" s="150">
        <f t="shared" ca="1" si="182"/>
        <v>-1633.221531969908</v>
      </c>
      <c r="P476" s="150">
        <f t="shared" ca="1" si="182"/>
        <v>-1833.529065974576</v>
      </c>
      <c r="Q476" s="150">
        <f t="shared" ca="1" si="182"/>
        <v>-2036.5173123313634</v>
      </c>
      <c r="R476" s="150">
        <f t="shared" ca="1" si="182"/>
        <v>-2242.2478379177992</v>
      </c>
      <c r="S476" s="150">
        <f t="shared" ca="1" si="182"/>
        <v>-2450.7833932326603</v>
      </c>
      <c r="T476" s="150">
        <f t="shared" ca="1" si="182"/>
        <v>-2662.1879363552125</v>
      </c>
      <c r="U476" s="150">
        <f t="shared" ca="1" si="182"/>
        <v>-2876.5266573814042</v>
      </c>
      <c r="V476" s="150">
        <f t="shared" ca="1" si="182"/>
        <v>-3093.8660033470587</v>
      </c>
      <c r="W476" s="150">
        <f t="shared" ca="1" si="182"/>
        <v>-3314.2737036478547</v>
      </c>
      <c r="X476" s="150">
        <f t="shared" ca="1" si="182"/>
        <v>-2821.0145533315585</v>
      </c>
      <c r="Y476" s="150">
        <f t="shared" ca="1" si="182"/>
        <v>-3047.7674100793288</v>
      </c>
      <c r="Z476" s="150">
        <f t="shared" ca="1" si="182"/>
        <v>-3277.7997653698189</v>
      </c>
      <c r="AA476" s="150">
        <f t="shared" ca="1" si="182"/>
        <v>-3511.1847425254359</v>
      </c>
      <c r="AB476" s="150">
        <f t="shared" ca="1" si="182"/>
        <v>-3747.9968821349271</v>
      </c>
      <c r="AC476" s="150">
        <f ca="1">AC396</f>
        <v>-4.5474735088646412E-12</v>
      </c>
      <c r="AD476" s="150">
        <f ca="1">AD396</f>
        <v>-4.5474735088646412E-12</v>
      </c>
      <c r="AE476" s="150">
        <f ca="1">AE396</f>
        <v>-4.5474735088646412E-12</v>
      </c>
      <c r="AF476" s="150">
        <f ca="1">AF396</f>
        <v>-4.5474735088646412E-12</v>
      </c>
      <c r="AG476" s="150">
        <f ca="1">AG396</f>
        <v>-4.5474735088646412E-12</v>
      </c>
      <c r="AH476" s="128"/>
      <c r="AI476" s="128"/>
      <c r="AJ476" s="128"/>
      <c r="AK476" s="128"/>
      <c r="AL476" s="128"/>
      <c r="AM476" s="128"/>
      <c r="AN476" s="128"/>
      <c r="AO476" s="128"/>
      <c r="AP476" s="128"/>
      <c r="AQ476" s="128"/>
      <c r="AR476" s="128"/>
      <c r="AS476" s="128"/>
      <c r="AT476" s="128"/>
      <c r="AU476" s="128"/>
      <c r="AV476" s="128"/>
      <c r="AW476" s="128"/>
      <c r="AX476" s="128"/>
      <c r="AY476" s="128"/>
      <c r="AZ476" s="128"/>
      <c r="BA476" s="128"/>
      <c r="BB476" s="128"/>
      <c r="BC476" s="128"/>
      <c r="BD476" s="128"/>
      <c r="BE476" s="128"/>
      <c r="BF476" s="128"/>
      <c r="BG476" s="128"/>
      <c r="BH476" s="128"/>
      <c r="BI476" s="128"/>
      <c r="BJ476" s="128"/>
      <c r="BK476" s="128"/>
      <c r="BL476" s="128"/>
      <c r="BM476" s="128"/>
      <c r="BN476" s="128"/>
      <c r="BO476" s="128"/>
      <c r="BP476" s="128"/>
      <c r="BQ476" s="128"/>
      <c r="BR476" s="128"/>
      <c r="BS476" s="128"/>
      <c r="BT476" s="128"/>
      <c r="BU476" s="128"/>
      <c r="BV476" s="128"/>
      <c r="BW476" s="128"/>
      <c r="BX476" s="128"/>
      <c r="BY476" s="128"/>
      <c r="BZ476" s="128"/>
      <c r="CA476" s="128"/>
      <c r="CB476" s="128"/>
      <c r="CC476" s="128"/>
      <c r="CD476" s="128"/>
      <c r="CE476" s="128"/>
      <c r="CF476" s="128"/>
      <c r="CG476" s="128"/>
      <c r="CH476" s="128"/>
      <c r="CI476" s="128"/>
      <c r="CJ476" s="128"/>
      <c r="CK476" s="128"/>
      <c r="CL476" s="128"/>
      <c r="CM476" s="128"/>
      <c r="CN476" s="128"/>
      <c r="CO476" s="128"/>
      <c r="CP476" s="128"/>
      <c r="CQ476" s="128"/>
      <c r="CR476" s="128"/>
      <c r="CS476" s="128"/>
      <c r="CT476" s="128"/>
      <c r="CU476" s="128"/>
    </row>
    <row r="477" spans="2:99" ht="14.5" outlineLevel="1" thickBot="1">
      <c r="B477" s="186"/>
      <c r="C477" s="337" t="s">
        <v>509</v>
      </c>
      <c r="D477" s="338"/>
      <c r="E477" s="338"/>
      <c r="F477" s="346"/>
      <c r="G477" s="179"/>
      <c r="H477" s="150">
        <f t="shared" ref="H477:AG477" si="183">H392</f>
        <v>0</v>
      </c>
      <c r="I477" s="150">
        <f t="shared" ca="1" si="183"/>
        <v>0</v>
      </c>
      <c r="J477" s="150">
        <f t="shared" ca="1" si="183"/>
        <v>0</v>
      </c>
      <c r="K477" s="150">
        <f t="shared" ca="1" si="183"/>
        <v>0</v>
      </c>
      <c r="L477" s="150">
        <f t="shared" ca="1" si="183"/>
        <v>0</v>
      </c>
      <c r="M477" s="150">
        <f t="shared" ca="1" si="183"/>
        <v>0</v>
      </c>
      <c r="N477" s="150">
        <f t="shared" ca="1" si="183"/>
        <v>0</v>
      </c>
      <c r="O477" s="150">
        <f t="shared" ca="1" si="183"/>
        <v>0</v>
      </c>
      <c r="P477" s="150">
        <f t="shared" ca="1" si="183"/>
        <v>0</v>
      </c>
      <c r="Q477" s="150">
        <f t="shared" ca="1" si="183"/>
        <v>0</v>
      </c>
      <c r="R477" s="150">
        <f t="shared" ca="1" si="183"/>
        <v>0</v>
      </c>
      <c r="S477" s="150">
        <f t="shared" ca="1" si="183"/>
        <v>0</v>
      </c>
      <c r="T477" s="150">
        <f t="shared" ca="1" si="183"/>
        <v>0</v>
      </c>
      <c r="U477" s="150">
        <f t="shared" ca="1" si="183"/>
        <v>0</v>
      </c>
      <c r="V477" s="150">
        <f t="shared" ca="1" si="183"/>
        <v>0</v>
      </c>
      <c r="W477" s="150">
        <f t="shared" ca="1" si="183"/>
        <v>0</v>
      </c>
      <c r="X477" s="150">
        <f t="shared" ca="1" si="183"/>
        <v>0</v>
      </c>
      <c r="Y477" s="150">
        <f t="shared" ca="1" si="183"/>
        <v>0</v>
      </c>
      <c r="Z477" s="150">
        <f t="shared" ca="1" si="183"/>
        <v>0</v>
      </c>
      <c r="AA477" s="150">
        <f t="shared" ca="1" si="183"/>
        <v>0</v>
      </c>
      <c r="AB477" s="150">
        <f t="shared" ca="1" si="183"/>
        <v>0</v>
      </c>
      <c r="AC477" s="150">
        <f t="shared" ca="1" si="183"/>
        <v>0</v>
      </c>
      <c r="AD477" s="150">
        <f t="shared" ca="1" si="183"/>
        <v>0</v>
      </c>
      <c r="AE477" s="150">
        <f t="shared" ca="1" si="183"/>
        <v>0</v>
      </c>
      <c r="AF477" s="150">
        <f t="shared" ca="1" si="183"/>
        <v>0</v>
      </c>
      <c r="AG477" s="150">
        <f t="shared" ca="1" si="183"/>
        <v>0</v>
      </c>
      <c r="AH477" s="128"/>
      <c r="AI477" s="128"/>
      <c r="AJ477" s="128"/>
      <c r="AK477" s="128"/>
      <c r="AL477" s="128"/>
      <c r="AM477" s="128"/>
      <c r="AN477" s="128"/>
      <c r="AO477" s="128"/>
      <c r="AP477" s="128"/>
      <c r="AQ477" s="128"/>
      <c r="AR477" s="128"/>
      <c r="AS477" s="128"/>
      <c r="AT477" s="128"/>
      <c r="AU477" s="128"/>
      <c r="AV477" s="128"/>
      <c r="AW477" s="128"/>
      <c r="AX477" s="128"/>
      <c r="AY477" s="128"/>
      <c r="AZ477" s="128"/>
      <c r="BA477" s="128"/>
      <c r="BB477" s="128"/>
      <c r="BC477" s="128"/>
      <c r="BD477" s="128"/>
      <c r="BE477" s="128"/>
      <c r="BF477" s="128"/>
      <c r="BG477" s="128"/>
      <c r="BH477" s="128"/>
      <c r="BI477" s="128"/>
      <c r="BJ477" s="128"/>
      <c r="BK477" s="128"/>
      <c r="BL477" s="128"/>
      <c r="BM477" s="128"/>
      <c r="BN477" s="128"/>
      <c r="BO477" s="128"/>
      <c r="BP477" s="128"/>
      <c r="BQ477" s="128"/>
      <c r="BR477" s="128"/>
      <c r="BS477" s="128"/>
      <c r="BT477" s="128"/>
      <c r="BU477" s="128"/>
      <c r="BV477" s="128"/>
      <c r="BW477" s="128"/>
      <c r="BX477" s="128"/>
      <c r="BY477" s="128"/>
      <c r="BZ477" s="128"/>
      <c r="CA477" s="128"/>
      <c r="CB477" s="128"/>
      <c r="CC477" s="128"/>
      <c r="CD477" s="128"/>
      <c r="CE477" s="128"/>
      <c r="CF477" s="128"/>
      <c r="CG477" s="128"/>
      <c r="CH477" s="128"/>
      <c r="CI477" s="128"/>
      <c r="CJ477" s="128"/>
      <c r="CK477" s="128"/>
      <c r="CL477" s="128"/>
      <c r="CM477" s="128"/>
      <c r="CN477" s="128"/>
      <c r="CO477" s="128"/>
      <c r="CP477" s="128"/>
      <c r="CQ477" s="128"/>
      <c r="CR477" s="128"/>
      <c r="CS477" s="128"/>
      <c r="CT477" s="128"/>
      <c r="CU477" s="128"/>
    </row>
    <row r="478" spans="2:99" ht="14.5" outlineLevel="1" thickBot="1">
      <c r="B478" s="186"/>
      <c r="C478" s="337" t="s">
        <v>510</v>
      </c>
      <c r="D478" s="338"/>
      <c r="E478" s="338"/>
      <c r="F478" s="346"/>
      <c r="G478" s="179"/>
      <c r="H478" s="150">
        <f t="shared" ref="H478:AB478" si="184">H398</f>
        <v>31151.617857142857</v>
      </c>
      <c r="I478" s="150">
        <f t="shared" ca="1" si="184"/>
        <v>26248.050040720009</v>
      </c>
      <c r="J478" s="150">
        <f t="shared" ca="1" si="184"/>
        <v>20756.054086326418</v>
      </c>
      <c r="K478" s="150">
        <f t="shared" ca="1" si="184"/>
        <v>14605.018617405596</v>
      </c>
      <c r="L478" s="150">
        <f t="shared" ca="1" si="184"/>
        <v>7715.8588922142753</v>
      </c>
      <c r="M478" s="150">
        <f t="shared" ca="1" si="184"/>
        <v>0</v>
      </c>
      <c r="N478" s="150">
        <f t="shared" ca="1" si="184"/>
        <v>-4.5474735088646412E-12</v>
      </c>
      <c r="O478" s="150">
        <f t="shared" ca="1" si="184"/>
        <v>-4.5474735088646412E-12</v>
      </c>
      <c r="P478" s="150">
        <f t="shared" ca="1" si="184"/>
        <v>-4.5474735088646412E-12</v>
      </c>
      <c r="Q478" s="150">
        <f t="shared" ca="1" si="184"/>
        <v>-4.5474735088646412E-12</v>
      </c>
      <c r="R478" s="150">
        <f t="shared" ca="1" si="184"/>
        <v>-4.5474735088646412E-12</v>
      </c>
      <c r="S478" s="150">
        <f t="shared" ca="1" si="184"/>
        <v>-4.5474735088646412E-12</v>
      </c>
      <c r="T478" s="150">
        <f t="shared" ca="1" si="184"/>
        <v>-4.5474735088646412E-12</v>
      </c>
      <c r="U478" s="150">
        <f t="shared" ca="1" si="184"/>
        <v>-4.5474735088646412E-12</v>
      </c>
      <c r="V478" s="150">
        <f t="shared" ca="1" si="184"/>
        <v>-4.5474735088646412E-12</v>
      </c>
      <c r="W478" s="150">
        <f t="shared" ca="1" si="184"/>
        <v>-4.5474735088646412E-12</v>
      </c>
      <c r="X478" s="150">
        <f t="shared" ca="1" si="184"/>
        <v>-4.5474735088646412E-12</v>
      </c>
      <c r="Y478" s="150">
        <f t="shared" ca="1" si="184"/>
        <v>-4.5474735088646412E-12</v>
      </c>
      <c r="Z478" s="150">
        <f t="shared" ca="1" si="184"/>
        <v>-4.5474735088646412E-12</v>
      </c>
      <c r="AA478" s="150">
        <f t="shared" ca="1" si="184"/>
        <v>-4.5474735088646412E-12</v>
      </c>
      <c r="AB478" s="150">
        <f t="shared" ca="1" si="184"/>
        <v>-4.5474735088646412E-12</v>
      </c>
      <c r="AC478" s="150">
        <f>AC376</f>
        <v>-3988.3121706699067</v>
      </c>
      <c r="AD478" s="150">
        <f>AD376</f>
        <v>-4232.2080696720823</v>
      </c>
      <c r="AE478" s="150">
        <f>AE376</f>
        <v>-5482.9009608410661</v>
      </c>
      <c r="AF478" s="150">
        <f>AF376</f>
        <v>-5728.1776906318119</v>
      </c>
      <c r="AG478" s="150">
        <f>AG376</f>
        <v>-5977.3126795567805</v>
      </c>
      <c r="AH478" s="128"/>
      <c r="AI478" s="128"/>
      <c r="AJ478" s="128"/>
      <c r="AK478" s="128"/>
      <c r="AL478" s="128"/>
      <c r="AM478" s="128"/>
      <c r="AN478" s="128"/>
      <c r="AO478" s="128"/>
      <c r="AP478" s="128"/>
      <c r="AQ478" s="128"/>
      <c r="AR478" s="128"/>
      <c r="AS478" s="128"/>
      <c r="AT478" s="128"/>
      <c r="AU478" s="128"/>
      <c r="AV478" s="128"/>
      <c r="AW478" s="128"/>
      <c r="AX478" s="128"/>
      <c r="AY478" s="128"/>
      <c r="AZ478" s="128"/>
      <c r="BA478" s="128"/>
      <c r="BB478" s="128"/>
      <c r="BC478" s="128"/>
      <c r="BD478" s="128"/>
      <c r="BE478" s="128"/>
      <c r="BF478" s="128"/>
      <c r="BG478" s="128"/>
      <c r="BH478" s="128"/>
      <c r="BI478" s="128"/>
      <c r="BJ478" s="128"/>
      <c r="BK478" s="128"/>
      <c r="BL478" s="128"/>
      <c r="BM478" s="128"/>
      <c r="BN478" s="128"/>
      <c r="BO478" s="128"/>
      <c r="BP478" s="128"/>
      <c r="BQ478" s="128"/>
      <c r="BR478" s="128"/>
      <c r="BS478" s="128"/>
      <c r="BT478" s="128"/>
      <c r="BU478" s="128"/>
      <c r="BV478" s="128"/>
      <c r="BW478" s="128"/>
      <c r="BX478" s="128"/>
      <c r="BY478" s="128"/>
      <c r="BZ478" s="128"/>
      <c r="CA478" s="128"/>
      <c r="CB478" s="128"/>
      <c r="CC478" s="128"/>
      <c r="CD478" s="128"/>
      <c r="CE478" s="128"/>
      <c r="CF478" s="128"/>
      <c r="CG478" s="128"/>
      <c r="CH478" s="128"/>
      <c r="CI478" s="128"/>
      <c r="CJ478" s="128"/>
      <c r="CK478" s="128"/>
      <c r="CL478" s="128"/>
      <c r="CM478" s="128"/>
      <c r="CN478" s="128"/>
      <c r="CO478" s="128"/>
      <c r="CP478" s="128"/>
      <c r="CQ478" s="128"/>
      <c r="CR478" s="128"/>
      <c r="CS478" s="128"/>
      <c r="CT478" s="128"/>
      <c r="CU478" s="128"/>
    </row>
    <row r="479" spans="2:99" ht="15" outlineLevel="1" thickTop="1" thickBot="1">
      <c r="B479" s="292"/>
      <c r="C479" s="293" t="s">
        <v>511</v>
      </c>
      <c r="D479" s="294"/>
      <c r="E479" s="294"/>
      <c r="F479" s="375"/>
      <c r="G479" s="179"/>
      <c r="H479" s="271">
        <f t="shared" ref="H479" si="185">SUM(H474:H478)</f>
        <v>55590.735714285714</v>
      </c>
      <c r="I479" s="271">
        <f t="shared" ref="I479:AG479" ca="1" si="186">IF(I1&lt;=$D$18,SUM(I474:I478),0)</f>
        <v>48333.703972204632</v>
      </c>
      <c r="J479" s="271">
        <f t="shared" ca="1" si="186"/>
        <v>40597.005376898014</v>
      </c>
      <c r="K479" s="271">
        <f t="shared" ca="1" si="186"/>
        <v>32342.99935679484</v>
      </c>
      <c r="L479" s="271">
        <f t="shared" ca="1" si="186"/>
        <v>23529.753715031024</v>
      </c>
      <c r="M479" s="271">
        <f t="shared" ca="1" si="186"/>
        <v>14110.535178149661</v>
      </c>
      <c r="N479" s="271">
        <f t="shared" ca="1" si="186"/>
        <v>12675.000874578189</v>
      </c>
      <c r="O479" s="271">
        <f t="shared" ca="1" si="186"/>
        <v>11041.779342608279</v>
      </c>
      <c r="P479" s="271">
        <f t="shared" ca="1" si="186"/>
        <v>9208.250276633702</v>
      </c>
      <c r="Q479" s="271">
        <f t="shared" ca="1" si="186"/>
        <v>7171.7329643023377</v>
      </c>
      <c r="R479" s="271">
        <f t="shared" ca="1" si="186"/>
        <v>4929.4851263845403</v>
      </c>
      <c r="S479" s="271">
        <f t="shared" ca="1" si="186"/>
        <v>2478.70173315188</v>
      </c>
      <c r="T479" s="271">
        <f t="shared" ca="1" si="186"/>
        <v>-183.48620320333339</v>
      </c>
      <c r="U479" s="271">
        <f t="shared" ca="1" si="186"/>
        <v>-3060.0128605847394</v>
      </c>
      <c r="V479" s="271">
        <f t="shared" ca="1" si="186"/>
        <v>-6153.8788639318018</v>
      </c>
      <c r="W479" s="271">
        <f t="shared" ca="1" si="186"/>
        <v>-9468.1525675796547</v>
      </c>
      <c r="X479" s="271">
        <f t="shared" ca="1" si="186"/>
        <v>-12289.167120911217</v>
      </c>
      <c r="Y479" s="271">
        <f t="shared" ca="1" si="186"/>
        <v>-15336.934530990548</v>
      </c>
      <c r="Z479" s="271">
        <f t="shared" ca="1" si="186"/>
        <v>-18614.734296360366</v>
      </c>
      <c r="AA479" s="271">
        <f t="shared" ca="1" si="186"/>
        <v>-22125.919038885801</v>
      </c>
      <c r="AB479" s="271">
        <f t="shared" ca="1" si="186"/>
        <v>-25873.915921020733</v>
      </c>
      <c r="AC479" s="271">
        <f t="shared" ca="1" si="186"/>
        <v>-29862.228091690635</v>
      </c>
      <c r="AD479" s="271">
        <f t="shared" ca="1" si="186"/>
        <v>-30106.123990692817</v>
      </c>
      <c r="AE479" s="271">
        <f t="shared" ca="1" si="186"/>
        <v>-31356.816881861811</v>
      </c>
      <c r="AF479" s="271">
        <f t="shared" ca="1" si="186"/>
        <v>-31602.093611652563</v>
      </c>
      <c r="AG479" s="271">
        <f t="shared" ca="1" si="186"/>
        <v>-31851.228600577539</v>
      </c>
      <c r="AH479" s="128"/>
      <c r="AI479" s="128"/>
      <c r="AJ479" s="128"/>
      <c r="AK479" s="128"/>
      <c r="AL479" s="128"/>
      <c r="AM479" s="128"/>
      <c r="AN479" s="128"/>
      <c r="AO479" s="128"/>
      <c r="AP479" s="128"/>
      <c r="AQ479" s="128"/>
      <c r="AR479" s="128"/>
      <c r="AS479" s="128"/>
      <c r="AT479" s="128"/>
      <c r="AU479" s="128"/>
      <c r="AV479" s="128"/>
      <c r="AW479" s="128"/>
      <c r="AX479" s="128"/>
      <c r="AY479" s="128"/>
      <c r="AZ479" s="128"/>
      <c r="BA479" s="128"/>
      <c r="BB479" s="128"/>
      <c r="BC479" s="128"/>
      <c r="BD479" s="128"/>
      <c r="BE479" s="128"/>
      <c r="BF479" s="128"/>
      <c r="BG479" s="128"/>
      <c r="BH479" s="128"/>
      <c r="BI479" s="128"/>
      <c r="BJ479" s="128"/>
      <c r="BK479" s="128"/>
      <c r="BL479" s="128"/>
      <c r="BM479" s="128"/>
      <c r="BN479" s="128"/>
      <c r="BO479" s="128"/>
      <c r="BP479" s="128"/>
      <c r="BQ479" s="128"/>
      <c r="BR479" s="128"/>
      <c r="BS479" s="128"/>
      <c r="BT479" s="128"/>
      <c r="BU479" s="128"/>
      <c r="BV479" s="128"/>
      <c r="BW479" s="128"/>
      <c r="BX479" s="128"/>
      <c r="BY479" s="128"/>
      <c r="BZ479" s="128"/>
      <c r="CA479" s="128"/>
      <c r="CB479" s="128"/>
      <c r="CC479" s="128"/>
      <c r="CD479" s="128"/>
      <c r="CE479" s="128"/>
      <c r="CF479" s="128"/>
      <c r="CG479" s="128"/>
      <c r="CH479" s="128"/>
      <c r="CI479" s="128"/>
      <c r="CJ479" s="128"/>
      <c r="CK479" s="128"/>
      <c r="CL479" s="128"/>
      <c r="CM479" s="128"/>
      <c r="CN479" s="128"/>
      <c r="CO479" s="128"/>
      <c r="CP479" s="128"/>
      <c r="CQ479" s="128"/>
      <c r="CR479" s="128"/>
      <c r="CS479" s="128"/>
      <c r="CT479" s="128"/>
      <c r="CU479" s="128"/>
    </row>
    <row r="480" spans="2:99" ht="14.5" thickTop="1">
      <c r="H480" s="331"/>
      <c r="I480" s="331"/>
      <c r="J480" s="331"/>
      <c r="K480" s="331"/>
      <c r="L480" s="331"/>
      <c r="M480" s="331"/>
      <c r="N480" s="331"/>
      <c r="O480" s="331"/>
      <c r="P480" s="331"/>
      <c r="Q480" s="331"/>
      <c r="R480" s="331"/>
      <c r="S480" s="331"/>
      <c r="T480" s="331"/>
      <c r="U480" s="331"/>
      <c r="V480" s="331"/>
      <c r="W480" s="331"/>
      <c r="X480" s="331"/>
      <c r="Y480" s="331"/>
      <c r="Z480" s="331"/>
      <c r="AA480" s="331"/>
      <c r="AB480" s="331"/>
      <c r="AC480" s="331"/>
      <c r="AD480" s="331"/>
      <c r="AE480" s="331"/>
      <c r="AF480" s="331"/>
      <c r="AG480" s="331"/>
    </row>
    <row r="481" spans="1:99" outlineLevel="1"/>
    <row r="482" spans="1:99" ht="23" outlineLevel="1">
      <c r="B482" s="129"/>
      <c r="C482" s="142" t="s">
        <v>512</v>
      </c>
      <c r="D482" s="143"/>
      <c r="E482" s="237"/>
      <c r="F482" s="237"/>
      <c r="G482" s="237"/>
      <c r="H482" s="237"/>
      <c r="I482" s="399"/>
      <c r="J482" s="399"/>
      <c r="K482" s="237">
        <f>$K$1</f>
        <v>3</v>
      </c>
      <c r="L482" s="237">
        <f>$L$1</f>
        <v>4</v>
      </c>
      <c r="M482" s="237">
        <f>$M$1</f>
        <v>5</v>
      </c>
      <c r="N482" s="237">
        <f>$N$1</f>
        <v>6</v>
      </c>
      <c r="O482" s="237">
        <f>$O$1</f>
        <v>7</v>
      </c>
      <c r="P482" s="237">
        <f>$P$1</f>
        <v>8</v>
      </c>
      <c r="Q482" s="237">
        <f>$Q$1</f>
        <v>9</v>
      </c>
      <c r="R482" s="237">
        <f>$R$1</f>
        <v>10</v>
      </c>
      <c r="S482" s="237">
        <f>$S$1</f>
        <v>11</v>
      </c>
      <c r="T482" s="237">
        <f>$T$1</f>
        <v>12</v>
      </c>
      <c r="U482" s="237">
        <f>$U$1</f>
        <v>13</v>
      </c>
      <c r="V482" s="237">
        <f>$V$1</f>
        <v>14</v>
      </c>
      <c r="W482" s="237">
        <f>$W$1</f>
        <v>15</v>
      </c>
      <c r="X482" s="237">
        <f>$X$1</f>
        <v>16</v>
      </c>
      <c r="Y482" s="237">
        <f>$Y$1</f>
        <v>17</v>
      </c>
      <c r="Z482" s="237">
        <f>$Z$1</f>
        <v>18</v>
      </c>
      <c r="AA482" s="237">
        <f>$AA$1</f>
        <v>19</v>
      </c>
      <c r="AB482" s="237">
        <f>$AB$1</f>
        <v>20</v>
      </c>
      <c r="AC482" s="237">
        <f>$AC$1</f>
        <v>21</v>
      </c>
      <c r="AD482" s="237">
        <f>$AD$1</f>
        <v>22</v>
      </c>
      <c r="AE482" s="237">
        <f>$AE$1</f>
        <v>23</v>
      </c>
      <c r="AF482" s="237">
        <f>$AF$1</f>
        <v>24</v>
      </c>
      <c r="AG482" s="237">
        <f>$AG$1</f>
        <v>25</v>
      </c>
      <c r="AH482" s="128"/>
      <c r="AI482" s="128"/>
      <c r="AJ482" s="128"/>
      <c r="AK482" s="128"/>
      <c r="AL482" s="128"/>
      <c r="AM482" s="128"/>
      <c r="AN482" s="128"/>
      <c r="AO482" s="128"/>
      <c r="AP482" s="128"/>
      <c r="AQ482" s="128"/>
      <c r="AR482" s="128"/>
      <c r="AS482" s="128"/>
      <c r="AT482" s="128"/>
      <c r="AU482" s="128"/>
      <c r="AV482" s="128"/>
      <c r="AW482" s="128"/>
      <c r="AX482" s="128"/>
      <c r="AY482" s="128"/>
      <c r="AZ482" s="128"/>
      <c r="BA482" s="128"/>
      <c r="BB482" s="128"/>
      <c r="BC482" s="128"/>
      <c r="BD482" s="128"/>
      <c r="BE482" s="128"/>
      <c r="BF482" s="128"/>
      <c r="BG482" s="128"/>
      <c r="BH482" s="128"/>
      <c r="BI482" s="128"/>
      <c r="BJ482" s="128"/>
      <c r="BK482" s="128"/>
      <c r="BL482" s="128"/>
      <c r="BM482" s="128"/>
      <c r="BN482" s="128"/>
      <c r="BO482" s="128"/>
      <c r="BP482" s="128"/>
      <c r="BQ482" s="128"/>
      <c r="BR482" s="128"/>
      <c r="BS482" s="128"/>
      <c r="BT482" s="128"/>
      <c r="BU482" s="128"/>
      <c r="BV482" s="128"/>
      <c r="BW482" s="128"/>
      <c r="BX482" s="128"/>
      <c r="BY482" s="128"/>
      <c r="BZ482" s="128"/>
      <c r="CA482" s="128"/>
      <c r="CB482" s="128"/>
      <c r="CC482" s="128"/>
      <c r="CD482" s="128"/>
      <c r="CE482" s="128"/>
      <c r="CF482" s="128"/>
      <c r="CG482" s="128"/>
      <c r="CH482" s="128"/>
      <c r="CI482" s="128"/>
      <c r="CJ482" s="128"/>
      <c r="CK482" s="128"/>
      <c r="CL482" s="128"/>
      <c r="CM482" s="128"/>
      <c r="CN482" s="128"/>
      <c r="CO482" s="128"/>
      <c r="CP482" s="128"/>
      <c r="CQ482" s="128"/>
      <c r="CR482" s="128"/>
      <c r="CS482" s="128"/>
      <c r="CT482" s="128"/>
      <c r="CU482" s="128"/>
    </row>
    <row r="483" spans="1:99" ht="14.5" outlineLevel="1" thickBot="1">
      <c r="C483" s="400"/>
      <c r="F483" s="128"/>
      <c r="AH483" s="128"/>
      <c r="AI483" s="128"/>
      <c r="AJ483" s="128"/>
      <c r="AK483" s="128"/>
      <c r="AL483" s="128"/>
      <c r="AM483" s="128"/>
      <c r="AN483" s="128"/>
      <c r="AO483" s="128"/>
      <c r="AP483" s="128"/>
      <c r="AQ483" s="128"/>
      <c r="AR483" s="128"/>
      <c r="AS483" s="128"/>
      <c r="AT483" s="128"/>
      <c r="AU483" s="128"/>
      <c r="AV483" s="128"/>
      <c r="AW483" s="128"/>
      <c r="AX483" s="128"/>
      <c r="AY483" s="128"/>
      <c r="AZ483" s="128"/>
      <c r="BA483" s="128"/>
      <c r="BB483" s="128"/>
      <c r="BC483" s="128"/>
      <c r="BD483" s="128"/>
      <c r="BE483" s="128"/>
      <c r="BF483" s="128"/>
      <c r="BG483" s="128"/>
      <c r="BH483" s="128"/>
      <c r="BI483" s="128"/>
      <c r="BJ483" s="128"/>
      <c r="BK483" s="128"/>
      <c r="BL483" s="128"/>
      <c r="BM483" s="128"/>
      <c r="BN483" s="128"/>
      <c r="BO483" s="128"/>
      <c r="BP483" s="128"/>
      <c r="BQ483" s="128"/>
      <c r="BR483" s="128"/>
      <c r="BS483" s="128"/>
      <c r="BT483" s="128"/>
      <c r="BU483" s="128"/>
      <c r="BV483" s="128"/>
      <c r="BW483" s="128"/>
      <c r="BX483" s="128"/>
      <c r="BY483" s="128"/>
      <c r="BZ483" s="128"/>
      <c r="CA483" s="128"/>
      <c r="CB483" s="128"/>
      <c r="CC483" s="128"/>
      <c r="CD483" s="128"/>
      <c r="CE483" s="128"/>
      <c r="CF483" s="128"/>
      <c r="CG483" s="128"/>
      <c r="CH483" s="128"/>
      <c r="CI483" s="128"/>
      <c r="CJ483" s="128"/>
      <c r="CK483" s="128"/>
      <c r="CL483" s="128"/>
      <c r="CM483" s="128"/>
      <c r="CN483" s="128"/>
      <c r="CO483" s="128"/>
      <c r="CP483" s="128"/>
      <c r="CQ483" s="128"/>
      <c r="CR483" s="128"/>
      <c r="CS483" s="128"/>
      <c r="CT483" s="128"/>
      <c r="CU483" s="128"/>
    </row>
    <row r="484" spans="1:99" ht="14.5" outlineLevel="1" thickBot="1">
      <c r="B484" s="132"/>
      <c r="C484" s="132" t="s">
        <v>513</v>
      </c>
      <c r="D484" s="133"/>
      <c r="E484" s="133"/>
      <c r="F484" s="146"/>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47"/>
      <c r="AH484" s="128"/>
      <c r="AI484" s="128"/>
      <c r="AJ484" s="128"/>
      <c r="AK484" s="128"/>
      <c r="AL484" s="128"/>
      <c r="AM484" s="128"/>
      <c r="AN484" s="128"/>
      <c r="AO484" s="128"/>
      <c r="AP484" s="128"/>
      <c r="AQ484" s="128"/>
      <c r="AR484" s="128"/>
      <c r="AS484" s="128"/>
      <c r="AT484" s="128"/>
      <c r="AU484" s="128"/>
      <c r="AV484" s="128"/>
      <c r="AW484" s="128"/>
      <c r="AX484" s="128"/>
      <c r="AY484" s="128"/>
      <c r="AZ484" s="128"/>
      <c r="BA484" s="128"/>
      <c r="BB484" s="128"/>
      <c r="BC484" s="128"/>
      <c r="BD484" s="128"/>
      <c r="BE484" s="128"/>
      <c r="BF484" s="128"/>
      <c r="BG484" s="128"/>
      <c r="BH484" s="128"/>
      <c r="BI484" s="128"/>
      <c r="BJ484" s="128"/>
      <c r="BK484" s="128"/>
      <c r="BL484" s="128"/>
      <c r="BM484" s="128"/>
      <c r="BN484" s="128"/>
      <c r="BO484" s="128"/>
      <c r="BP484" s="128"/>
      <c r="BQ484" s="128"/>
      <c r="BR484" s="128"/>
      <c r="BS484" s="128"/>
      <c r="BT484" s="128"/>
      <c r="BU484" s="128"/>
      <c r="BV484" s="128"/>
      <c r="BW484" s="128"/>
      <c r="BX484" s="128"/>
      <c r="BY484" s="128"/>
      <c r="BZ484" s="128"/>
      <c r="CA484" s="128"/>
      <c r="CB484" s="128"/>
      <c r="CC484" s="128"/>
      <c r="CD484" s="128"/>
      <c r="CE484" s="128"/>
      <c r="CF484" s="128"/>
      <c r="CG484" s="128"/>
      <c r="CH484" s="128"/>
      <c r="CI484" s="128"/>
      <c r="CJ484" s="128"/>
      <c r="CK484" s="128"/>
      <c r="CL484" s="128"/>
      <c r="CM484" s="128"/>
      <c r="CN484" s="128"/>
      <c r="CO484" s="128"/>
      <c r="CP484" s="128"/>
      <c r="CQ484" s="128"/>
      <c r="CR484" s="128"/>
      <c r="CS484" s="128"/>
      <c r="CT484" s="128"/>
      <c r="CU484" s="128"/>
    </row>
    <row r="485" spans="1:99" s="160" customFormat="1" ht="15" customHeight="1" outlineLevel="1" thickBot="1">
      <c r="B485" s="186"/>
      <c r="C485" s="337" t="s">
        <v>514</v>
      </c>
      <c r="D485" s="338"/>
      <c r="E485" s="338"/>
      <c r="F485" s="346"/>
      <c r="G485" s="338"/>
      <c r="H485" s="338"/>
      <c r="I485" s="150">
        <f>((+(NPV($D$22,$I$365:$AG$365))+(-SUM(H446))+(-NPV($D$22,$I$446:$AG$446))))/((NPV($D$22,$I$220:$AG$220)))</f>
        <v>9.9047693915425616E-2</v>
      </c>
      <c r="J485" s="150"/>
      <c r="K485" s="150"/>
      <c r="L485" s="150">
        <f>NPV($D$22,$I$220:$AG$220)</f>
        <v>1496821.0061195961</v>
      </c>
      <c r="M485" s="150"/>
      <c r="N485" s="150"/>
      <c r="O485" s="150"/>
      <c r="P485" s="150"/>
      <c r="Q485" s="150"/>
      <c r="R485" s="150"/>
      <c r="S485" s="150"/>
      <c r="T485" s="150"/>
      <c r="U485" s="150"/>
      <c r="V485" s="150"/>
      <c r="W485" s="150"/>
      <c r="X485" s="150"/>
      <c r="Y485" s="150"/>
      <c r="Z485" s="150"/>
      <c r="AA485" s="150"/>
      <c r="AB485" s="150"/>
      <c r="AC485" s="150"/>
      <c r="AD485" s="150"/>
      <c r="AE485" s="150"/>
      <c r="AF485" s="150"/>
      <c r="AG485" s="150"/>
      <c r="AH485" s="179"/>
      <c r="AI485" s="179"/>
      <c r="AJ485" s="179"/>
      <c r="AK485" s="179"/>
      <c r="AL485" s="179"/>
      <c r="AM485" s="179"/>
      <c r="AN485" s="179"/>
      <c r="AO485" s="179"/>
      <c r="AP485" s="179"/>
      <c r="AQ485" s="179"/>
      <c r="AR485" s="179"/>
      <c r="AS485" s="179"/>
      <c r="AT485" s="179"/>
      <c r="AU485" s="179"/>
      <c r="AV485" s="179"/>
      <c r="AW485" s="179"/>
      <c r="AX485" s="179"/>
      <c r="AY485" s="179"/>
      <c r="AZ485" s="179"/>
      <c r="BA485" s="179"/>
      <c r="BB485" s="179"/>
      <c r="BC485" s="179"/>
      <c r="BD485" s="179"/>
      <c r="BE485" s="179"/>
      <c r="BF485" s="179"/>
      <c r="BG485" s="179"/>
      <c r="BH485" s="179"/>
      <c r="BI485" s="179"/>
      <c r="BJ485" s="179"/>
      <c r="BK485" s="179"/>
      <c r="BL485" s="179"/>
      <c r="BM485" s="179"/>
      <c r="BN485" s="179"/>
      <c r="BO485" s="179"/>
      <c r="BP485" s="179"/>
      <c r="BQ485" s="179"/>
      <c r="BR485" s="179"/>
      <c r="BS485" s="179"/>
      <c r="BT485" s="179"/>
      <c r="BU485" s="179"/>
      <c r="BV485" s="179"/>
      <c r="BW485" s="179"/>
      <c r="BX485" s="179"/>
      <c r="BY485" s="179"/>
      <c r="BZ485" s="179"/>
      <c r="CA485" s="179"/>
      <c r="CB485" s="179"/>
      <c r="CC485" s="179"/>
      <c r="CD485" s="179"/>
      <c r="CE485" s="179"/>
      <c r="CF485" s="179"/>
      <c r="CG485" s="179"/>
      <c r="CH485" s="179"/>
      <c r="CI485" s="179"/>
      <c r="CJ485" s="179"/>
      <c r="CK485" s="179"/>
      <c r="CL485" s="179"/>
      <c r="CM485" s="179"/>
      <c r="CN485" s="179"/>
      <c r="CO485" s="179"/>
      <c r="CP485" s="179"/>
      <c r="CQ485" s="179"/>
      <c r="CR485" s="179"/>
      <c r="CS485" s="179"/>
      <c r="CT485" s="179"/>
      <c r="CU485" s="179"/>
    </row>
    <row r="486" spans="1:99" ht="15" outlineLevel="1" thickTop="1" thickBot="1">
      <c r="B486" s="292"/>
      <c r="C486" s="293" t="s">
        <v>515</v>
      </c>
      <c r="D486" s="294"/>
      <c r="E486" s="294"/>
      <c r="F486" s="341"/>
      <c r="G486" s="294"/>
      <c r="H486" s="401"/>
      <c r="I486" s="271">
        <f>((+(NPV($D$22,$I$365:$AG$365))+(-SUM($H$430,H431,H434))+(-NPV($D$22,$I$446:$AG$446))))/((NPV($D$22,$I$220:$AG$220)))</f>
        <v>9.9047693915425616E-2</v>
      </c>
      <c r="J486" s="271"/>
      <c r="K486" s="271"/>
      <c r="L486" s="271"/>
      <c r="M486" s="271"/>
      <c r="N486" s="271"/>
      <c r="O486" s="271"/>
      <c r="P486" s="271"/>
      <c r="Q486" s="271"/>
      <c r="R486" s="271"/>
      <c r="S486" s="271"/>
      <c r="T486" s="271"/>
      <c r="U486" s="271"/>
      <c r="V486" s="271"/>
      <c r="W486" s="271"/>
      <c r="X486" s="271"/>
      <c r="Y486" s="271"/>
      <c r="Z486" s="271"/>
      <c r="AA486" s="271"/>
      <c r="AB486" s="271"/>
      <c r="AC486" s="271"/>
      <c r="AD486" s="271"/>
      <c r="AE486" s="271"/>
      <c r="AF486" s="271"/>
      <c r="AG486" s="271"/>
      <c r="AH486" s="128"/>
      <c r="AI486" s="128"/>
      <c r="AJ486" s="128"/>
      <c r="AK486" s="128"/>
      <c r="AL486" s="128"/>
      <c r="AM486" s="128"/>
      <c r="AN486" s="128"/>
      <c r="AO486" s="128"/>
      <c r="AP486" s="128"/>
      <c r="AQ486" s="128"/>
      <c r="AR486" s="128"/>
      <c r="AS486" s="128"/>
      <c r="AT486" s="128"/>
      <c r="AU486" s="128"/>
      <c r="AV486" s="128"/>
      <c r="AW486" s="128"/>
      <c r="AX486" s="128"/>
      <c r="AY486" s="128"/>
      <c r="AZ486" s="128"/>
      <c r="BA486" s="128"/>
      <c r="BB486" s="128"/>
      <c r="BC486" s="128"/>
      <c r="BD486" s="128"/>
      <c r="BE486" s="128"/>
      <c r="BF486" s="128"/>
      <c r="BG486" s="128"/>
      <c r="BH486" s="128"/>
      <c r="BI486" s="128"/>
      <c r="BJ486" s="128"/>
      <c r="BK486" s="128"/>
      <c r="BL486" s="128"/>
      <c r="BM486" s="128"/>
      <c r="BN486" s="128"/>
      <c r="BO486" s="128"/>
      <c r="BP486" s="128"/>
      <c r="BQ486" s="128"/>
      <c r="BR486" s="128"/>
      <c r="BS486" s="128"/>
      <c r="BT486" s="128"/>
      <c r="BU486" s="128"/>
      <c r="BV486" s="128"/>
      <c r="BW486" s="128"/>
      <c r="BX486" s="128"/>
      <c r="BY486" s="128"/>
      <c r="BZ486" s="128"/>
      <c r="CA486" s="128"/>
      <c r="CB486" s="128"/>
      <c r="CC486" s="128"/>
      <c r="CD486" s="128"/>
      <c r="CE486" s="128"/>
      <c r="CF486" s="128"/>
      <c r="CG486" s="128"/>
      <c r="CH486" s="128"/>
      <c r="CI486" s="128"/>
      <c r="CJ486" s="128"/>
      <c r="CK486" s="128"/>
      <c r="CL486" s="128"/>
      <c r="CM486" s="128"/>
      <c r="CN486" s="128"/>
      <c r="CO486" s="128"/>
      <c r="CP486" s="128"/>
      <c r="CQ486" s="128"/>
      <c r="CR486" s="128"/>
      <c r="CS486" s="128"/>
      <c r="CT486" s="128"/>
      <c r="CU486" s="128"/>
    </row>
    <row r="487" spans="1:99" ht="15" outlineLevel="1" thickTop="1" thickBot="1">
      <c r="C487" s="400"/>
      <c r="F487" s="128"/>
      <c r="AH487" s="128"/>
      <c r="AI487" s="128"/>
      <c r="AJ487" s="128"/>
      <c r="AK487" s="128"/>
      <c r="AL487" s="128"/>
      <c r="AM487" s="128"/>
      <c r="AN487" s="128"/>
      <c r="AO487" s="128"/>
      <c r="AP487" s="128"/>
      <c r="AQ487" s="128"/>
      <c r="AR487" s="128"/>
      <c r="AS487" s="128"/>
      <c r="AT487" s="128"/>
      <c r="AU487" s="128"/>
      <c r="AV487" s="128"/>
      <c r="AW487" s="128"/>
      <c r="AX487" s="128"/>
      <c r="AY487" s="128"/>
      <c r="AZ487" s="128"/>
      <c r="BA487" s="128"/>
      <c r="BB487" s="128"/>
      <c r="BC487" s="128"/>
      <c r="BD487" s="128"/>
      <c r="BE487" s="128"/>
      <c r="BF487" s="128"/>
      <c r="BG487" s="128"/>
      <c r="BH487" s="128"/>
      <c r="BI487" s="128"/>
      <c r="BJ487" s="128"/>
      <c r="BK487" s="128"/>
      <c r="BL487" s="128"/>
      <c r="BM487" s="128"/>
      <c r="BN487" s="128"/>
      <c r="BO487" s="128"/>
      <c r="BP487" s="128"/>
      <c r="BQ487" s="128"/>
      <c r="BR487" s="128"/>
      <c r="BS487" s="128"/>
      <c r="BT487" s="128"/>
      <c r="BU487" s="128"/>
      <c r="BV487" s="128"/>
      <c r="BW487" s="128"/>
      <c r="BX487" s="128"/>
      <c r="BY487" s="128"/>
      <c r="BZ487" s="128"/>
      <c r="CA487" s="128"/>
      <c r="CB487" s="128"/>
      <c r="CC487" s="128"/>
      <c r="CD487" s="128"/>
      <c r="CE487" s="128"/>
      <c r="CF487" s="128"/>
      <c r="CG487" s="128"/>
      <c r="CH487" s="128"/>
      <c r="CI487" s="128"/>
      <c r="CJ487" s="128"/>
      <c r="CK487" s="128"/>
      <c r="CL487" s="128"/>
      <c r="CM487" s="128"/>
      <c r="CN487" s="128"/>
      <c r="CO487" s="128"/>
      <c r="CP487" s="128"/>
      <c r="CQ487" s="128"/>
      <c r="CR487" s="128"/>
      <c r="CS487" s="128"/>
      <c r="CT487" s="128"/>
      <c r="CU487" s="128"/>
    </row>
    <row r="488" spans="1:99" ht="14.5" outlineLevel="1" thickBot="1">
      <c r="B488" s="132"/>
      <c r="C488" s="132" t="s">
        <v>516</v>
      </c>
      <c r="D488" s="133"/>
      <c r="E488" s="133"/>
      <c r="F488" s="146"/>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47"/>
      <c r="AH488" s="128"/>
      <c r="AI488" s="128"/>
      <c r="AJ488" s="128"/>
      <c r="AK488" s="128"/>
      <c r="AL488" s="128"/>
      <c r="AM488" s="128"/>
      <c r="AN488" s="128"/>
      <c r="AO488" s="128"/>
      <c r="AP488" s="128"/>
      <c r="AQ488" s="128"/>
      <c r="AR488" s="128"/>
      <c r="AS488" s="128"/>
      <c r="AT488" s="128"/>
      <c r="AU488" s="128"/>
      <c r="AV488" s="128"/>
      <c r="AW488" s="128"/>
      <c r="AX488" s="128"/>
      <c r="AY488" s="128"/>
      <c r="AZ488" s="128"/>
      <c r="BA488" s="128"/>
      <c r="BB488" s="128"/>
      <c r="BC488" s="128"/>
      <c r="BD488" s="128"/>
      <c r="BE488" s="128"/>
      <c r="BF488" s="128"/>
      <c r="BG488" s="128"/>
      <c r="BH488" s="128"/>
      <c r="BI488" s="128"/>
      <c r="BJ488" s="128"/>
      <c r="BK488" s="128"/>
      <c r="BL488" s="128"/>
      <c r="BM488" s="128"/>
      <c r="BN488" s="128"/>
      <c r="BO488" s="128"/>
      <c r="BP488" s="128"/>
      <c r="BQ488" s="128"/>
      <c r="BR488" s="128"/>
      <c r="BS488" s="128"/>
      <c r="BT488" s="128"/>
      <c r="BU488" s="128"/>
      <c r="BV488" s="128"/>
      <c r="BW488" s="128"/>
      <c r="BX488" s="128"/>
      <c r="BY488" s="128"/>
      <c r="BZ488" s="128"/>
      <c r="CA488" s="128"/>
      <c r="CB488" s="128"/>
      <c r="CC488" s="128"/>
      <c r="CD488" s="128"/>
      <c r="CE488" s="128"/>
      <c r="CF488" s="128"/>
      <c r="CG488" s="128"/>
      <c r="CH488" s="128"/>
      <c r="CI488" s="128"/>
      <c r="CJ488" s="128"/>
      <c r="CK488" s="128"/>
      <c r="CL488" s="128"/>
      <c r="CM488" s="128"/>
      <c r="CN488" s="128"/>
      <c r="CO488" s="128"/>
      <c r="CP488" s="128"/>
      <c r="CQ488" s="128"/>
      <c r="CR488" s="128"/>
      <c r="CS488" s="128"/>
      <c r="CT488" s="128"/>
      <c r="CU488" s="128"/>
    </row>
    <row r="489" spans="1:99" s="160" customFormat="1" ht="13" outlineLevel="1" thickBot="1">
      <c r="B489" s="186"/>
      <c r="C489" s="337" t="s">
        <v>517</v>
      </c>
      <c r="D489" s="338"/>
      <c r="E489" s="338"/>
      <c r="F489" s="346"/>
      <c r="G489" s="338"/>
      <c r="H489" s="338"/>
      <c r="I489" s="150">
        <f t="shared" ref="I489:AG489" si="187">I367-SUM(I410:I413)</f>
        <v>2178.797372876561</v>
      </c>
      <c r="J489" s="150">
        <f t="shared" ca="1" si="187"/>
        <v>1993.3445886364025</v>
      </c>
      <c r="K489" s="150">
        <f t="shared" ca="1" si="187"/>
        <v>1805.5569211034581</v>
      </c>
      <c r="L489" s="150">
        <f t="shared" ca="1" si="187"/>
        <v>1615.3794275780701</v>
      </c>
      <c r="M489" s="150">
        <f t="shared" ca="1" si="187"/>
        <v>1422.7561159719962</v>
      </c>
      <c r="N489" s="150">
        <f t="shared" ca="1" si="187"/>
        <v>1227.6299235347578</v>
      </c>
      <c r="O489" s="150">
        <f t="shared" ca="1" si="187"/>
        <v>1029.9426951363184</v>
      </c>
      <c r="P489" s="150">
        <f t="shared" ca="1" si="187"/>
        <v>829.63516113165042</v>
      </c>
      <c r="Q489" s="150">
        <f t="shared" ca="1" si="187"/>
        <v>626.64691477486303</v>
      </c>
      <c r="R489" s="150">
        <f t="shared" ca="1" si="187"/>
        <v>420.91638918842727</v>
      </c>
      <c r="S489" s="150">
        <f t="shared" ca="1" si="187"/>
        <v>212.38083387356619</v>
      </c>
      <c r="T489" s="150">
        <f t="shared" ca="1" si="187"/>
        <v>0.97629075101394847</v>
      </c>
      <c r="U489" s="150">
        <f t="shared" ca="1" si="187"/>
        <v>-213.36243027517776</v>
      </c>
      <c r="V489" s="150">
        <f t="shared" ca="1" si="187"/>
        <v>-430.70177624083226</v>
      </c>
      <c r="W489" s="150">
        <f t="shared" ca="1" si="187"/>
        <v>-651.10947654162828</v>
      </c>
      <c r="X489" s="150">
        <f t="shared" ca="1" si="187"/>
        <v>-874.65456875728978</v>
      </c>
      <c r="Y489" s="150">
        <f t="shared" ca="1" si="187"/>
        <v>-1101.40742550506</v>
      </c>
      <c r="Z489" s="150">
        <f t="shared" ca="1" si="187"/>
        <v>-1331.4397807955502</v>
      </c>
      <c r="AA489" s="150">
        <f t="shared" ca="1" si="187"/>
        <v>-1564.8247579511672</v>
      </c>
      <c r="AB489" s="150">
        <f t="shared" ca="1" si="187"/>
        <v>-1801.6368975606583</v>
      </c>
      <c r="AC489" s="150">
        <f t="shared" ca="1" si="187"/>
        <v>-2041.9521860956374</v>
      </c>
      <c r="AD489" s="150">
        <f t="shared" ca="1" si="187"/>
        <v>-2285.8480850978131</v>
      </c>
      <c r="AE489" s="150">
        <f t="shared" ca="1" si="187"/>
        <v>-3536.5409762667969</v>
      </c>
      <c r="AF489" s="150">
        <f t="shared" ca="1" si="187"/>
        <v>-3781.8177060575426</v>
      </c>
      <c r="AG489" s="150">
        <f t="shared" ca="1" si="187"/>
        <v>-4030.9526949825113</v>
      </c>
      <c r="AH489" s="328"/>
      <c r="AI489" s="328"/>
      <c r="AJ489" s="179"/>
      <c r="AK489" s="179"/>
      <c r="AL489" s="179"/>
      <c r="AM489" s="179"/>
      <c r="AN489" s="179"/>
      <c r="AO489" s="179"/>
      <c r="AP489" s="179"/>
      <c r="AQ489" s="179"/>
      <c r="AR489" s="179"/>
      <c r="AS489" s="179"/>
      <c r="AT489" s="179"/>
      <c r="AU489" s="179"/>
      <c r="AV489" s="179"/>
      <c r="AW489" s="179"/>
      <c r="AX489" s="179"/>
      <c r="AY489" s="179"/>
      <c r="AZ489" s="179"/>
      <c r="BA489" s="179"/>
      <c r="BB489" s="179"/>
      <c r="BC489" s="179"/>
      <c r="BD489" s="179"/>
      <c r="BE489" s="179"/>
      <c r="BF489" s="179"/>
      <c r="BG489" s="179"/>
      <c r="BH489" s="179"/>
      <c r="BI489" s="179"/>
      <c r="BJ489" s="179"/>
      <c r="BK489" s="179"/>
      <c r="BL489" s="179"/>
      <c r="BM489" s="179"/>
      <c r="BN489" s="179"/>
      <c r="BO489" s="179"/>
      <c r="BP489" s="179"/>
      <c r="BQ489" s="179"/>
      <c r="BR489" s="179"/>
      <c r="BS489" s="179"/>
      <c r="BT489" s="179"/>
      <c r="BU489" s="179"/>
      <c r="BV489" s="179"/>
      <c r="BW489" s="179"/>
      <c r="BX489" s="179"/>
      <c r="BY489" s="179"/>
      <c r="BZ489" s="179"/>
      <c r="CA489" s="179"/>
      <c r="CB489" s="179"/>
      <c r="CC489" s="179"/>
      <c r="CD489" s="179"/>
      <c r="CE489" s="179"/>
      <c r="CF489" s="179"/>
      <c r="CG489" s="179"/>
      <c r="CH489" s="179"/>
      <c r="CI489" s="179"/>
      <c r="CJ489" s="179"/>
      <c r="CK489" s="179"/>
      <c r="CL489" s="179"/>
      <c r="CM489" s="179"/>
      <c r="CN489" s="179"/>
      <c r="CO489" s="179"/>
      <c r="CP489" s="179"/>
      <c r="CQ489" s="179"/>
      <c r="CR489" s="179"/>
      <c r="CS489" s="179"/>
      <c r="CT489" s="179"/>
      <c r="CU489" s="179"/>
    </row>
    <row r="490" spans="1:99" s="160" customFormat="1" ht="13" outlineLevel="1" thickBot="1">
      <c r="A490" s="179"/>
      <c r="B490" s="186"/>
      <c r="C490" s="337" t="s">
        <v>518</v>
      </c>
      <c r="D490" s="338"/>
      <c r="E490" s="338"/>
      <c r="F490" s="346"/>
      <c r="G490" s="338"/>
      <c r="H490" s="338"/>
      <c r="I490" s="150">
        <f ca="1">ROUND(SUM(I391,I393,I397,I399),4)</f>
        <v>8641.7620000000006</v>
      </c>
      <c r="J490" s="150">
        <f t="shared" ref="J490:AG490" ca="1" si="188">ROUND(SUM(J391,J393,J397,J399),4)</f>
        <v>8641.7620000000006</v>
      </c>
      <c r="K490" s="150">
        <f t="shared" ca="1" si="188"/>
        <v>8641.7620000000006</v>
      </c>
      <c r="L490" s="150">
        <f t="shared" ca="1" si="188"/>
        <v>8641.7620000000006</v>
      </c>
      <c r="M490" s="150">
        <f t="shared" ca="1" si="188"/>
        <v>8641.7620000000006</v>
      </c>
      <c r="N490" s="150">
        <f t="shared" ca="1" si="188"/>
        <v>0</v>
      </c>
      <c r="O490" s="150">
        <f t="shared" ca="1" si="188"/>
        <v>0</v>
      </c>
      <c r="P490" s="150">
        <f t="shared" ca="1" si="188"/>
        <v>0</v>
      </c>
      <c r="Q490" s="150">
        <f t="shared" ca="1" si="188"/>
        <v>0</v>
      </c>
      <c r="R490" s="150">
        <f t="shared" ca="1" si="188"/>
        <v>0</v>
      </c>
      <c r="S490" s="150">
        <f t="shared" ca="1" si="188"/>
        <v>0</v>
      </c>
      <c r="T490" s="150">
        <f t="shared" ca="1" si="188"/>
        <v>0</v>
      </c>
      <c r="U490" s="150">
        <f t="shared" ca="1" si="188"/>
        <v>0</v>
      </c>
      <c r="V490" s="150">
        <f t="shared" ca="1" si="188"/>
        <v>0</v>
      </c>
      <c r="W490" s="150">
        <f t="shared" ca="1" si="188"/>
        <v>0</v>
      </c>
      <c r="X490" s="150">
        <f t="shared" ca="1" si="188"/>
        <v>0</v>
      </c>
      <c r="Y490" s="150">
        <f t="shared" ca="1" si="188"/>
        <v>0</v>
      </c>
      <c r="Z490" s="150">
        <f t="shared" ca="1" si="188"/>
        <v>0</v>
      </c>
      <c r="AA490" s="150">
        <f t="shared" ca="1" si="188"/>
        <v>0</v>
      </c>
      <c r="AB490" s="150">
        <f t="shared" ca="1" si="188"/>
        <v>0</v>
      </c>
      <c r="AC490" s="150">
        <f t="shared" ca="1" si="188"/>
        <v>0</v>
      </c>
      <c r="AD490" s="150">
        <f t="shared" ca="1" si="188"/>
        <v>0</v>
      </c>
      <c r="AE490" s="150">
        <f t="shared" ca="1" si="188"/>
        <v>0</v>
      </c>
      <c r="AF490" s="150">
        <f t="shared" ca="1" si="188"/>
        <v>0</v>
      </c>
      <c r="AG490" s="150">
        <f t="shared" ca="1" si="188"/>
        <v>0</v>
      </c>
      <c r="AH490" s="328"/>
      <c r="AI490" s="328"/>
      <c r="AJ490" s="179"/>
      <c r="AK490" s="179"/>
      <c r="AL490" s="179"/>
      <c r="AM490" s="179"/>
      <c r="AN490" s="179"/>
      <c r="AO490" s="179"/>
      <c r="AP490" s="179"/>
      <c r="AQ490" s="179"/>
      <c r="AR490" s="179"/>
      <c r="AS490" s="179"/>
      <c r="AT490" s="179"/>
      <c r="AU490" s="179"/>
      <c r="AV490" s="179"/>
      <c r="AW490" s="179"/>
      <c r="AX490" s="179"/>
      <c r="AY490" s="179"/>
      <c r="AZ490" s="179"/>
      <c r="BA490" s="179"/>
      <c r="BB490" s="179"/>
      <c r="BC490" s="179"/>
      <c r="BD490" s="179"/>
      <c r="BE490" s="179"/>
      <c r="BF490" s="179"/>
      <c r="BG490" s="179"/>
      <c r="BH490" s="179"/>
      <c r="BI490" s="179"/>
      <c r="BJ490" s="179"/>
      <c r="BK490" s="179"/>
      <c r="BL490" s="179"/>
      <c r="BM490" s="179"/>
      <c r="BN490" s="179"/>
      <c r="BO490" s="179"/>
      <c r="BP490" s="179"/>
      <c r="BQ490" s="179"/>
      <c r="BR490" s="179"/>
      <c r="BS490" s="179"/>
      <c r="BT490" s="179"/>
      <c r="BU490" s="179"/>
      <c r="BV490" s="179"/>
      <c r="BW490" s="179"/>
      <c r="BX490" s="179"/>
      <c r="BY490" s="179"/>
      <c r="BZ490" s="179"/>
      <c r="CA490" s="179"/>
      <c r="CB490" s="179"/>
      <c r="CC490" s="179"/>
      <c r="CD490" s="179"/>
      <c r="CE490" s="179"/>
      <c r="CF490" s="179"/>
      <c r="CG490" s="179"/>
      <c r="CH490" s="179"/>
      <c r="CI490" s="179"/>
      <c r="CJ490" s="179"/>
      <c r="CK490" s="179"/>
      <c r="CL490" s="179"/>
      <c r="CM490" s="179"/>
      <c r="CN490" s="179"/>
      <c r="CO490" s="179"/>
      <c r="CP490" s="179"/>
      <c r="CQ490" s="179"/>
      <c r="CR490" s="179"/>
      <c r="CS490" s="179"/>
      <c r="CT490" s="179"/>
      <c r="CU490" s="179"/>
    </row>
    <row r="491" spans="1:99" s="160" customFormat="1" ht="13" outlineLevel="1" thickBot="1">
      <c r="A491" s="179"/>
      <c r="B491" s="186"/>
      <c r="C491" s="337" t="s">
        <v>519</v>
      </c>
      <c r="D491" s="338"/>
      <c r="E491" s="338"/>
      <c r="F491" s="346"/>
      <c r="G491" s="338"/>
      <c r="H491" s="338"/>
      <c r="I491" s="150">
        <f ca="1">IFERROR(I489/I490,0)</f>
        <v>0.25212420486430437</v>
      </c>
      <c r="J491" s="150">
        <f t="shared" ref="J491:AG491" ca="1" si="189">IFERROR(J489/J490,0)</f>
        <v>0.23066413870648167</v>
      </c>
      <c r="K491" s="150">
        <f t="shared" ca="1" si="189"/>
        <v>0.20893388652724501</v>
      </c>
      <c r="L491" s="150">
        <f t="shared" ca="1" si="189"/>
        <v>0.18692709051441939</v>
      </c>
      <c r="M491" s="150">
        <f t="shared" ca="1" si="189"/>
        <v>0.16463727142358192</v>
      </c>
      <c r="N491" s="150">
        <f t="shared" ca="1" si="189"/>
        <v>0</v>
      </c>
      <c r="O491" s="150">
        <f t="shared" ca="1" si="189"/>
        <v>0</v>
      </c>
      <c r="P491" s="150">
        <f t="shared" ca="1" si="189"/>
        <v>0</v>
      </c>
      <c r="Q491" s="150">
        <f t="shared" ca="1" si="189"/>
        <v>0</v>
      </c>
      <c r="R491" s="150">
        <f t="shared" ca="1" si="189"/>
        <v>0</v>
      </c>
      <c r="S491" s="150">
        <f t="shared" ca="1" si="189"/>
        <v>0</v>
      </c>
      <c r="T491" s="150">
        <f t="shared" ca="1" si="189"/>
        <v>0</v>
      </c>
      <c r="U491" s="150">
        <f t="shared" ca="1" si="189"/>
        <v>0</v>
      </c>
      <c r="V491" s="150">
        <f t="shared" ca="1" si="189"/>
        <v>0</v>
      </c>
      <c r="W491" s="150">
        <f t="shared" ca="1" si="189"/>
        <v>0</v>
      </c>
      <c r="X491" s="150">
        <f t="shared" ca="1" si="189"/>
        <v>0</v>
      </c>
      <c r="Y491" s="150">
        <f t="shared" ca="1" si="189"/>
        <v>0</v>
      </c>
      <c r="Z491" s="150">
        <f t="shared" ca="1" si="189"/>
        <v>0</v>
      </c>
      <c r="AA491" s="150">
        <f t="shared" ca="1" si="189"/>
        <v>0</v>
      </c>
      <c r="AB491" s="150">
        <f t="shared" ca="1" si="189"/>
        <v>0</v>
      </c>
      <c r="AC491" s="150">
        <f t="shared" ca="1" si="189"/>
        <v>0</v>
      </c>
      <c r="AD491" s="150">
        <f t="shared" ca="1" si="189"/>
        <v>0</v>
      </c>
      <c r="AE491" s="150">
        <f t="shared" ca="1" si="189"/>
        <v>0</v>
      </c>
      <c r="AF491" s="150">
        <f t="shared" ca="1" si="189"/>
        <v>0</v>
      </c>
      <c r="AG491" s="150">
        <f t="shared" ca="1" si="189"/>
        <v>0</v>
      </c>
      <c r="AH491" s="179"/>
      <c r="AI491" s="179"/>
      <c r="AJ491" s="179"/>
      <c r="AK491" s="179"/>
      <c r="AL491" s="179"/>
      <c r="AM491" s="179"/>
      <c r="AN491" s="179"/>
      <c r="AO491" s="179"/>
      <c r="AP491" s="179"/>
      <c r="AQ491" s="179"/>
      <c r="AR491" s="179"/>
      <c r="AS491" s="179"/>
      <c r="AT491" s="179"/>
      <c r="AU491" s="179"/>
      <c r="AV491" s="179"/>
      <c r="AW491" s="179"/>
      <c r="AX491" s="179"/>
      <c r="AY491" s="179"/>
      <c r="AZ491" s="179"/>
      <c r="BA491" s="179"/>
      <c r="BB491" s="179"/>
      <c r="BC491" s="179"/>
      <c r="BD491" s="179"/>
      <c r="BE491" s="179"/>
      <c r="BF491" s="179"/>
      <c r="BG491" s="179"/>
      <c r="BH491" s="179"/>
      <c r="BI491" s="179"/>
      <c r="BJ491" s="179"/>
      <c r="BK491" s="179"/>
      <c r="BL491" s="179"/>
      <c r="BM491" s="179"/>
      <c r="BN491" s="179"/>
      <c r="BO491" s="179"/>
      <c r="BP491" s="179"/>
      <c r="BQ491" s="179"/>
      <c r="BR491" s="179"/>
      <c r="BS491" s="179"/>
      <c r="BT491" s="179"/>
      <c r="BU491" s="179"/>
      <c r="BV491" s="179"/>
      <c r="BW491" s="179"/>
      <c r="BX491" s="179"/>
      <c r="BY491" s="179"/>
      <c r="BZ491" s="179"/>
      <c r="CA491" s="179"/>
      <c r="CB491" s="179"/>
      <c r="CC491" s="179"/>
      <c r="CD491" s="179"/>
      <c r="CE491" s="179"/>
      <c r="CF491" s="179"/>
      <c r="CG491" s="179"/>
      <c r="CH491" s="179"/>
      <c r="CI491" s="179"/>
      <c r="CJ491" s="179"/>
      <c r="CK491" s="179"/>
      <c r="CL491" s="179"/>
      <c r="CM491" s="179"/>
      <c r="CN491" s="179"/>
      <c r="CO491" s="179"/>
      <c r="CP491" s="179"/>
      <c r="CQ491" s="179"/>
      <c r="CR491" s="179"/>
      <c r="CS491" s="179"/>
      <c r="CT491" s="179"/>
      <c r="CU491" s="179"/>
    </row>
    <row r="492" spans="1:99" ht="15" outlineLevel="1" thickTop="1" thickBot="1">
      <c r="A492" s="128"/>
      <c r="B492" s="292"/>
      <c r="C492" s="293" t="s">
        <v>520</v>
      </c>
      <c r="D492" s="294"/>
      <c r="E492" s="294"/>
      <c r="F492" s="341"/>
      <c r="G492" s="294"/>
      <c r="H492" s="401"/>
      <c r="I492" s="271">
        <f ca="1">SMALL(I$491:$I491, COUNTIF(I$491:$I491, 0)+1)</f>
        <v>0.25212420486430437</v>
      </c>
      <c r="J492" s="271">
        <f ca="1">SMALL($I$491:J491, COUNTIF($I$491:J491, 0)+1)</f>
        <v>0.23066413870648167</v>
      </c>
      <c r="K492" s="271">
        <f ca="1">SMALL($I$491:K491, COUNTIF($I$491:K491, 0)+1)</f>
        <v>0.20893388652724501</v>
      </c>
      <c r="L492" s="271">
        <f ca="1">SMALL($I$491:L491, COUNTIF($I$491:L491, 0)+1)</f>
        <v>0.18692709051441939</v>
      </c>
      <c r="M492" s="271">
        <f ca="1">SMALL($I$491:M491, COUNTIF($I$491:M491, 0)+1)</f>
        <v>0.16463727142358192</v>
      </c>
      <c r="N492" s="271">
        <f ca="1">SMALL($I$491:N491, COUNTIF($I$491:N491, 0)+1)</f>
        <v>0.16463727142358192</v>
      </c>
      <c r="O492" s="271">
        <f ca="1">SMALL($I$491:O491, COUNTIF($I$491:O491, 0)+1)</f>
        <v>0.16463727142358192</v>
      </c>
      <c r="P492" s="271">
        <f ca="1">SMALL($I$491:P491, COUNTIF($I$491:P491, 0)+1)</f>
        <v>0.16463727142358192</v>
      </c>
      <c r="Q492" s="271">
        <f ca="1">SMALL($I$491:Q491, COUNTIF($I$491:Q491, 0)+1)</f>
        <v>0.16463727142358192</v>
      </c>
      <c r="R492" s="271">
        <f ca="1">SMALL($I$491:R491, COUNTIF($I$491:R491, 0)+1)</f>
        <v>0.16463727142358192</v>
      </c>
      <c r="S492" s="271">
        <f ca="1">SMALL($I$491:S491, COUNTIF($I$491:S491, 0)+1)</f>
        <v>0.16463727142358192</v>
      </c>
      <c r="T492" s="271">
        <f ca="1">SMALL($I$491:T491, COUNTIF($I$491:T491, 0)+1)</f>
        <v>0.16463727142358192</v>
      </c>
      <c r="U492" s="271">
        <f ca="1">SMALL($I$491:U491, COUNTIF($I$491:U491, 0)+1)</f>
        <v>0.16463727142358192</v>
      </c>
      <c r="V492" s="271">
        <f ca="1">SMALL($I$491:V491, COUNTIF($I$491:V491, 0)+1)</f>
        <v>0.16463727142358192</v>
      </c>
      <c r="W492" s="271">
        <f ca="1">SMALL($I$491:W491, COUNTIF($I$491:W491, 0)+1)</f>
        <v>0.16463727142358192</v>
      </c>
      <c r="X492" s="271">
        <f ca="1">SMALL($I$491:X491, COUNTIF($I$491:X491, 0)+1)</f>
        <v>0.16463727142358192</v>
      </c>
      <c r="Y492" s="271">
        <f ca="1">SMALL($I$491:Y491, COUNTIF($I$491:Y491, 0)+1)</f>
        <v>0.16463727142358192</v>
      </c>
      <c r="Z492" s="271">
        <f ca="1">SMALL($I$491:Z491, COUNTIF($I$491:Z491, 0)+1)</f>
        <v>0.16463727142358192</v>
      </c>
      <c r="AA492" s="271">
        <f ca="1">SMALL($I$491:AA491, COUNTIF($I$491:AA491, 0)+1)</f>
        <v>0.16463727142358192</v>
      </c>
      <c r="AB492" s="271">
        <f ca="1">SMALL($I$491:AB491, COUNTIF($I$491:AB491, 0)+1)</f>
        <v>0.16463727142358192</v>
      </c>
      <c r="AC492" s="271">
        <f ca="1">SMALL($I$491:AC491, COUNTIF($I$491:AC491, 0)+1)</f>
        <v>0.16463727142358192</v>
      </c>
      <c r="AD492" s="271">
        <f ca="1">SMALL($I$491:AD491, COUNTIF($I$491:AD491, 0)+1)</f>
        <v>0.16463727142358192</v>
      </c>
      <c r="AE492" s="271">
        <f ca="1">SMALL($I$491:AE491, COUNTIF($I$491:AE491, 0)+1)</f>
        <v>0.16463727142358192</v>
      </c>
      <c r="AF492" s="271">
        <f ca="1">SMALL($I$491:AF491, COUNTIF($I$491:AF491, 0)+1)</f>
        <v>0.16463727142358192</v>
      </c>
      <c r="AG492" s="271">
        <f ca="1">SMALL($I$491:AG491, COUNTIF($I$491:AG491, 0)+1)</f>
        <v>0.16463727142358192</v>
      </c>
      <c r="AH492" s="128"/>
      <c r="AI492" s="128"/>
      <c r="AJ492" s="128"/>
      <c r="AK492" s="128"/>
      <c r="AL492" s="128"/>
      <c r="AM492" s="128"/>
      <c r="AN492" s="128"/>
      <c r="AO492" s="128"/>
      <c r="AP492" s="128"/>
      <c r="AQ492" s="128"/>
      <c r="AR492" s="128"/>
      <c r="AS492" s="128"/>
      <c r="AT492" s="128"/>
      <c r="AU492" s="128"/>
      <c r="AV492" s="128"/>
      <c r="AW492" s="128"/>
      <c r="AX492" s="128"/>
      <c r="AY492" s="128"/>
      <c r="AZ492" s="128"/>
      <c r="BA492" s="128"/>
      <c r="BB492" s="128"/>
      <c r="BC492" s="128"/>
      <c r="BD492" s="128"/>
      <c r="BE492" s="128"/>
      <c r="BF492" s="128"/>
      <c r="BG492" s="128"/>
      <c r="BH492" s="128"/>
      <c r="BI492" s="128"/>
      <c r="BJ492" s="128"/>
      <c r="BK492" s="128"/>
      <c r="BL492" s="128"/>
      <c r="BM492" s="128"/>
      <c r="BN492" s="128"/>
      <c r="BO492" s="128"/>
      <c r="BP492" s="128"/>
      <c r="BQ492" s="128"/>
      <c r="BR492" s="128"/>
      <c r="BS492" s="128"/>
      <c r="BT492" s="128"/>
      <c r="BU492" s="128"/>
      <c r="BV492" s="128"/>
      <c r="BW492" s="128"/>
      <c r="BX492" s="128"/>
      <c r="BY492" s="128"/>
      <c r="BZ492" s="128"/>
      <c r="CA492" s="128"/>
      <c r="CB492" s="128"/>
      <c r="CC492" s="128"/>
      <c r="CD492" s="128"/>
      <c r="CE492" s="128"/>
      <c r="CF492" s="128"/>
      <c r="CG492" s="128"/>
      <c r="CH492" s="128"/>
      <c r="CI492" s="128"/>
      <c r="CJ492" s="128"/>
      <c r="CK492" s="128"/>
      <c r="CL492" s="128"/>
      <c r="CM492" s="128"/>
      <c r="CN492" s="128"/>
      <c r="CO492" s="128"/>
      <c r="CP492" s="128"/>
      <c r="CQ492" s="128"/>
      <c r="CR492" s="128"/>
      <c r="CS492" s="128"/>
      <c r="CT492" s="128"/>
      <c r="CU492" s="128"/>
    </row>
    <row r="493" spans="1:99" ht="15" outlineLevel="1" thickTop="1" thickBot="1">
      <c r="F493" s="402"/>
      <c r="I493" s="403"/>
      <c r="AH493" s="128"/>
      <c r="AI493" s="128"/>
      <c r="AJ493" s="128"/>
      <c r="AK493" s="128"/>
      <c r="AL493" s="128"/>
      <c r="AM493" s="128"/>
      <c r="AN493" s="128"/>
      <c r="AO493" s="128"/>
      <c r="AP493" s="128"/>
      <c r="AQ493" s="128"/>
      <c r="AR493" s="128"/>
      <c r="AS493" s="128"/>
      <c r="AT493" s="128"/>
      <c r="AU493" s="128"/>
      <c r="AV493" s="128"/>
      <c r="AW493" s="128"/>
      <c r="AX493" s="128"/>
      <c r="AY493" s="128"/>
      <c r="AZ493" s="128"/>
      <c r="BA493" s="128"/>
      <c r="BB493" s="128"/>
      <c r="BC493" s="128"/>
      <c r="BD493" s="128"/>
      <c r="BE493" s="128"/>
      <c r="BF493" s="128"/>
      <c r="BG493" s="128"/>
      <c r="BH493" s="128"/>
      <c r="BI493" s="128"/>
      <c r="BJ493" s="128"/>
      <c r="BK493" s="128"/>
      <c r="BL493" s="128"/>
      <c r="BM493" s="128"/>
      <c r="BN493" s="128"/>
      <c r="BO493" s="128"/>
      <c r="BP493" s="128"/>
      <c r="BQ493" s="128"/>
      <c r="BR493" s="128"/>
      <c r="BS493" s="128"/>
      <c r="BT493" s="128"/>
      <c r="BU493" s="128"/>
      <c r="BV493" s="128"/>
      <c r="BW493" s="128"/>
      <c r="BX493" s="128"/>
      <c r="BY493" s="128"/>
      <c r="BZ493" s="128"/>
      <c r="CA493" s="128"/>
      <c r="CB493" s="128"/>
      <c r="CC493" s="128"/>
      <c r="CD493" s="128"/>
      <c r="CE493" s="128"/>
      <c r="CF493" s="128"/>
      <c r="CG493" s="128"/>
      <c r="CH493" s="128"/>
      <c r="CI493" s="128"/>
      <c r="CJ493" s="128"/>
      <c r="CK493" s="128"/>
      <c r="CL493" s="128"/>
      <c r="CM493" s="128"/>
      <c r="CN493" s="128"/>
      <c r="CO493" s="128"/>
      <c r="CP493" s="128"/>
      <c r="CQ493" s="128"/>
      <c r="CR493" s="128"/>
      <c r="CS493" s="128"/>
      <c r="CT493" s="128"/>
      <c r="CU493" s="128"/>
    </row>
    <row r="494" spans="1:99" ht="14.5" outlineLevel="1" thickBot="1">
      <c r="B494" s="132"/>
      <c r="C494" s="132" t="s">
        <v>521</v>
      </c>
      <c r="D494" s="133"/>
      <c r="E494" s="133"/>
      <c r="F494" s="146"/>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47"/>
      <c r="AH494" s="128"/>
      <c r="AI494" s="128"/>
      <c r="AJ494" s="128"/>
      <c r="AK494" s="128"/>
      <c r="AL494" s="128"/>
      <c r="AM494" s="128"/>
      <c r="AN494" s="128"/>
      <c r="AO494" s="128"/>
      <c r="AP494" s="128"/>
      <c r="AQ494" s="128"/>
      <c r="AR494" s="128"/>
      <c r="AS494" s="128"/>
      <c r="AT494" s="128"/>
      <c r="AU494" s="128"/>
      <c r="AV494" s="128"/>
      <c r="AW494" s="128"/>
      <c r="AX494" s="128"/>
      <c r="AY494" s="128"/>
      <c r="AZ494" s="128"/>
      <c r="BA494" s="128"/>
      <c r="BB494" s="128"/>
      <c r="BC494" s="128"/>
      <c r="BD494" s="128"/>
      <c r="BE494" s="128"/>
      <c r="BF494" s="128"/>
      <c r="BG494" s="128"/>
      <c r="BH494" s="128"/>
      <c r="BI494" s="128"/>
      <c r="BJ494" s="128"/>
      <c r="BK494" s="128"/>
      <c r="BL494" s="128"/>
      <c r="BM494" s="128"/>
      <c r="BN494" s="128"/>
      <c r="BO494" s="128"/>
      <c r="BP494" s="128"/>
      <c r="BQ494" s="128"/>
      <c r="BR494" s="128"/>
      <c r="BS494" s="128"/>
      <c r="BT494" s="128"/>
      <c r="BU494" s="128"/>
      <c r="BV494" s="128"/>
      <c r="BW494" s="128"/>
      <c r="BX494" s="128"/>
      <c r="BY494" s="128"/>
      <c r="BZ494" s="128"/>
      <c r="CA494" s="128"/>
      <c r="CB494" s="128"/>
      <c r="CC494" s="128"/>
      <c r="CD494" s="128"/>
      <c r="CE494" s="128"/>
      <c r="CF494" s="128"/>
      <c r="CG494" s="128"/>
      <c r="CH494" s="128"/>
      <c r="CI494" s="128"/>
      <c r="CJ494" s="128"/>
      <c r="CK494" s="128"/>
      <c r="CL494" s="128"/>
      <c r="CM494" s="128"/>
      <c r="CN494" s="128"/>
      <c r="CO494" s="128"/>
      <c r="CP494" s="128"/>
      <c r="CQ494" s="128"/>
      <c r="CR494" s="128"/>
      <c r="CS494" s="128"/>
      <c r="CT494" s="128"/>
      <c r="CU494" s="128"/>
    </row>
    <row r="495" spans="1:99" s="160" customFormat="1" ht="13" outlineLevel="1" thickBot="1">
      <c r="B495" s="186"/>
      <c r="C495" s="337" t="s">
        <v>522</v>
      </c>
      <c r="D495" s="338"/>
      <c r="E495" s="338"/>
      <c r="F495" s="346"/>
      <c r="G495" s="338"/>
      <c r="H495" s="338"/>
      <c r="I495" s="404">
        <f t="shared" ref="I495:AA495" si="190">IFERROR(I376/I346,"")</f>
        <v>-5.498671767789734E-2</v>
      </c>
      <c r="J495" s="404">
        <f t="shared" si="190"/>
        <v>-7.6498843920426426E-2</v>
      </c>
      <c r="K495" s="404">
        <f t="shared" si="190"/>
        <v>-9.8536942681524228E-2</v>
      </c>
      <c r="L495" s="404">
        <f t="shared" si="190"/>
        <v>-0.12111455015027082</v>
      </c>
      <c r="M495" s="404">
        <f t="shared" si="190"/>
        <v>-0.14424555524372373</v>
      </c>
      <c r="N495" s="404">
        <f t="shared" si="190"/>
        <v>-0.16794420882386052</v>
      </c>
      <c r="O495" s="404">
        <f t="shared" si="190"/>
        <v>-0.1922251331578729</v>
      </c>
      <c r="P495" s="404">
        <f t="shared" si="190"/>
        <v>-0.21710333162418313</v>
      </c>
      <c r="Q495" s="404">
        <f t="shared" si="190"/>
        <v>-0.24259419867340173</v>
      </c>
      <c r="R495" s="404">
        <f t="shared" si="190"/>
        <v>-0.26871353004919185</v>
      </c>
      <c r="S495" s="404">
        <f t="shared" si="190"/>
        <v>-0.29547753327642073</v>
      </c>
      <c r="T495" s="404">
        <f t="shared" si="190"/>
        <v>-0.32290283842378581</v>
      </c>
      <c r="U495" s="404">
        <f t="shared" si="190"/>
        <v>-0.35100650914784692</v>
      </c>
      <c r="V495" s="404">
        <f t="shared" si="190"/>
        <v>-0.3798060540258828</v>
      </c>
      <c r="W495" s="404">
        <f t="shared" si="190"/>
        <v>-0.40931943818513289</v>
      </c>
      <c r="X495" s="404">
        <f t="shared" si="190"/>
        <v>-0.35050396934171429</v>
      </c>
      <c r="Y495" s="404">
        <f t="shared" si="190"/>
        <v>-0.38096322131468507</v>
      </c>
      <c r="Z495" s="404">
        <f t="shared" si="190"/>
        <v>-0.41218982312869296</v>
      </c>
      <c r="AA495" s="404">
        <f t="shared" si="190"/>
        <v>-0.44420366901880204</v>
      </c>
      <c r="AB495" s="404" t="str">
        <f>IFERROR(AC363/AC306,"")</f>
        <v/>
      </c>
      <c r="AC495" s="404" t="str">
        <f>IFERROR(AD363/AD306,"")</f>
        <v/>
      </c>
      <c r="AD495" s="404" t="str">
        <f>IFERROR(AE363/AE306,"")</f>
        <v/>
      </c>
      <c r="AE495" s="404" t="str">
        <f>IFERROR(AF363/AF306,"")</f>
        <v/>
      </c>
      <c r="AF495" s="404" t="str">
        <f>IFERROR(AG363/AG306,"")</f>
        <v/>
      </c>
      <c r="AG495" s="404" t="str">
        <f>IFERROR(#REF!/#REF!,"")</f>
        <v/>
      </c>
      <c r="AH495" s="179"/>
      <c r="AI495" s="179"/>
      <c r="AJ495" s="179"/>
      <c r="AK495" s="179"/>
      <c r="AL495" s="179"/>
      <c r="AM495" s="179"/>
      <c r="AN495" s="179"/>
      <c r="AO495" s="179"/>
      <c r="AP495" s="179"/>
      <c r="AQ495" s="179"/>
      <c r="AR495" s="179"/>
      <c r="AS495" s="179"/>
      <c r="AT495" s="179"/>
      <c r="AU495" s="179"/>
      <c r="AV495" s="179"/>
      <c r="AW495" s="179"/>
      <c r="AX495" s="179"/>
      <c r="AY495" s="179"/>
      <c r="AZ495" s="179"/>
      <c r="BA495" s="179"/>
      <c r="BB495" s="179"/>
      <c r="BC495" s="179"/>
      <c r="BD495" s="179"/>
      <c r="BE495" s="179"/>
      <c r="BF495" s="179"/>
      <c r="BG495" s="179"/>
      <c r="BH495" s="179"/>
      <c r="BI495" s="179"/>
      <c r="BJ495" s="179"/>
      <c r="BK495" s="179"/>
      <c r="BL495" s="179"/>
      <c r="BM495" s="179"/>
      <c r="BN495" s="179"/>
      <c r="BO495" s="179"/>
      <c r="BP495" s="179"/>
      <c r="BQ495" s="179"/>
      <c r="BR495" s="179"/>
      <c r="BS495" s="179"/>
      <c r="BT495" s="179"/>
      <c r="BU495" s="179"/>
      <c r="BV495" s="179"/>
      <c r="BW495" s="179"/>
      <c r="BX495" s="179"/>
      <c r="BY495" s="179"/>
      <c r="BZ495" s="179"/>
      <c r="CA495" s="179"/>
      <c r="CB495" s="179"/>
      <c r="CC495" s="179"/>
      <c r="CD495" s="179"/>
      <c r="CE495" s="179"/>
      <c r="CF495" s="179"/>
      <c r="CG495" s="179"/>
      <c r="CH495" s="179"/>
      <c r="CI495" s="179"/>
      <c r="CJ495" s="179"/>
      <c r="CK495" s="179"/>
      <c r="CL495" s="179"/>
      <c r="CM495" s="179"/>
      <c r="CN495" s="179"/>
      <c r="CO495" s="179"/>
      <c r="CP495" s="179"/>
      <c r="CQ495" s="179"/>
      <c r="CR495" s="179"/>
      <c r="CS495" s="179"/>
      <c r="CT495" s="179"/>
      <c r="CU495" s="179"/>
    </row>
    <row r="496" spans="1:99" ht="14.5" outlineLevel="1" thickBot="1">
      <c r="B496" s="186"/>
      <c r="C496" s="337" t="s">
        <v>523</v>
      </c>
      <c r="D496" s="338"/>
      <c r="E496" s="338"/>
      <c r="F496" s="346"/>
      <c r="G496" s="338"/>
      <c r="H496" s="338"/>
      <c r="I496" s="404">
        <f>IFERROR(AVERAGE($I$495:I495),"")</f>
        <v>-5.498671767789734E-2</v>
      </c>
      <c r="J496" s="404">
        <f>IFERROR(AVERAGE($I$495:J495),"")</f>
        <v>-6.5742780799161876E-2</v>
      </c>
      <c r="K496" s="404">
        <f>IFERROR(AVERAGE($I$495:K495),"")</f>
        <v>-7.667416809328266E-2</v>
      </c>
      <c r="L496" s="404">
        <f>IFERROR(AVERAGE($I$495:L495),"")</f>
        <v>-8.7784263607529708E-2</v>
      </c>
      <c r="M496" s="404">
        <f>IFERROR(AVERAGE($I$495:M495),"")</f>
        <v>-9.9076521934768513E-2</v>
      </c>
      <c r="N496" s="404">
        <f>IFERROR(AVERAGE($I$495:N495),"")</f>
        <v>-0.11055446974961718</v>
      </c>
      <c r="O496" s="404">
        <f>IFERROR(AVERAGE($I$495:O495),"")</f>
        <v>-0.12222170737936799</v>
      </c>
      <c r="P496" s="404">
        <f>IFERROR(AVERAGE($I$495:P495),"")</f>
        <v>-0.13408191040996989</v>
      </c>
      <c r="Q496" s="404">
        <f>IFERROR(AVERAGE($I$495:Q495),"")</f>
        <v>-0.14613883132812899</v>
      </c>
      <c r="R496" s="404">
        <f>IFERROR(AVERAGE($I$495:R495),"")</f>
        <v>-0.15839630120023526</v>
      </c>
      <c r="S496" s="404">
        <f>IFERROR(AVERAGE($I$495:S495),"")</f>
        <v>-0.1708582313889794</v>
      </c>
      <c r="T496" s="404">
        <f>IFERROR(AVERAGE($I$495:T495),"")</f>
        <v>-0.18352861530854661</v>
      </c>
      <c r="U496" s="404">
        <f>IFERROR(AVERAGE($I$495:U495),"")</f>
        <v>-0.19641153021926203</v>
      </c>
      <c r="V496" s="404">
        <f>IFERROR(AVERAGE($I$495:V495),"")</f>
        <v>-0.20951113906259208</v>
      </c>
      <c r="W496" s="404">
        <f>IFERROR(AVERAGE($I$495:W495),"")</f>
        <v>-0.22283169233742814</v>
      </c>
      <c r="X496" s="404">
        <f>IFERROR(AVERAGE($I$495:X495),"")</f>
        <v>-0.23081120965019603</v>
      </c>
      <c r="Y496" s="404">
        <f>IFERROR(AVERAGE($I$495:Y495),"")</f>
        <v>-0.23964368092457775</v>
      </c>
      <c r="Z496" s="404">
        <f>IFERROR(AVERAGE($I$495:Z495),"")</f>
        <v>-0.24922957771369525</v>
      </c>
      <c r="AA496" s="404">
        <f>IFERROR(AVERAGE($I$495:AA495),"")</f>
        <v>-0.25949137199291139</v>
      </c>
      <c r="AB496" s="404">
        <f>IFERROR(AVERAGE($I$495:AB495),"")</f>
        <v>-0.25949137199291139</v>
      </c>
      <c r="AC496" s="404">
        <f>IFERROR(AVERAGE($I$495:AC495),"")</f>
        <v>-0.25949137199291139</v>
      </c>
      <c r="AD496" s="404">
        <f>IFERROR(AVERAGE($I$495:AD495),"")</f>
        <v>-0.25949137199291139</v>
      </c>
      <c r="AE496" s="404">
        <f>IFERROR(AVERAGE($I$495:AE495),"")</f>
        <v>-0.25949137199291139</v>
      </c>
      <c r="AF496" s="404">
        <f>IFERROR(AVERAGE($I$495:AF495),"")</f>
        <v>-0.25949137199291139</v>
      </c>
      <c r="AG496" s="404">
        <f>IFERROR(AVERAGE($I$495:AG495),"")</f>
        <v>-0.25949137199291139</v>
      </c>
      <c r="AH496" s="128"/>
      <c r="AI496" s="128"/>
      <c r="AJ496" s="128"/>
      <c r="AK496" s="128"/>
      <c r="AL496" s="128"/>
      <c r="AM496" s="128"/>
      <c r="AN496" s="128"/>
      <c r="AO496" s="128"/>
      <c r="AP496" s="128"/>
      <c r="AQ496" s="128"/>
      <c r="AR496" s="128"/>
      <c r="AS496" s="128"/>
      <c r="AT496" s="128"/>
      <c r="AU496" s="128"/>
      <c r="AV496" s="128"/>
      <c r="AW496" s="128"/>
      <c r="AX496" s="128"/>
      <c r="AY496" s="128"/>
      <c r="AZ496" s="128"/>
      <c r="BA496" s="128"/>
      <c r="BB496" s="128"/>
      <c r="BC496" s="128"/>
      <c r="BD496" s="128"/>
      <c r="BE496" s="128"/>
      <c r="BF496" s="128"/>
      <c r="BG496" s="128"/>
      <c r="BH496" s="128"/>
      <c r="BI496" s="128"/>
      <c r="BJ496" s="128"/>
      <c r="BK496" s="128"/>
      <c r="BL496" s="128"/>
      <c r="BM496" s="128"/>
      <c r="BN496" s="128"/>
      <c r="BO496" s="128"/>
      <c r="BP496" s="128"/>
      <c r="BQ496" s="128"/>
      <c r="BR496" s="128"/>
      <c r="BS496" s="128"/>
      <c r="BT496" s="128"/>
      <c r="BU496" s="128"/>
      <c r="BV496" s="128"/>
      <c r="BW496" s="128"/>
      <c r="BX496" s="128"/>
      <c r="BY496" s="128"/>
      <c r="BZ496" s="128"/>
      <c r="CA496" s="128"/>
      <c r="CB496" s="128"/>
      <c r="CC496" s="128"/>
      <c r="CD496" s="128"/>
      <c r="CE496" s="128"/>
      <c r="CF496" s="128"/>
      <c r="CG496" s="128"/>
      <c r="CH496" s="128"/>
      <c r="CI496" s="128"/>
      <c r="CJ496" s="128"/>
      <c r="CK496" s="128"/>
      <c r="CL496" s="128"/>
      <c r="CM496" s="128"/>
      <c r="CN496" s="128"/>
      <c r="CO496" s="128"/>
      <c r="CP496" s="128"/>
      <c r="CQ496" s="128"/>
      <c r="CR496" s="128"/>
      <c r="CS496" s="128"/>
      <c r="CT496" s="128"/>
      <c r="CU496" s="128"/>
    </row>
    <row r="497" spans="2:99" ht="15" outlineLevel="1" thickTop="1" thickBot="1">
      <c r="B497" s="292"/>
      <c r="C497" s="293" t="s">
        <v>524</v>
      </c>
      <c r="D497" s="294"/>
      <c r="E497" s="294"/>
      <c r="F497" s="341"/>
      <c r="G497" s="294"/>
      <c r="H497" s="401"/>
      <c r="I497" s="405">
        <f>MIN($I$495:I495)</f>
        <v>-5.498671767789734E-2</v>
      </c>
      <c r="J497" s="405">
        <f>MIN($I$495:J495)</f>
        <v>-7.6498843920426426E-2</v>
      </c>
      <c r="K497" s="405">
        <f>MIN($I$495:K495)</f>
        <v>-9.8536942681524228E-2</v>
      </c>
      <c r="L497" s="405">
        <f>MIN($I$495:L495)</f>
        <v>-0.12111455015027082</v>
      </c>
      <c r="M497" s="405">
        <f>MIN($I$495:M495)</f>
        <v>-0.14424555524372373</v>
      </c>
      <c r="N497" s="405">
        <f>MIN($I$495:N495)</f>
        <v>-0.16794420882386052</v>
      </c>
      <c r="O497" s="405">
        <f>MIN($I$495:O495)</f>
        <v>-0.1922251331578729</v>
      </c>
      <c r="P497" s="405">
        <f>MIN($I$495:P495)</f>
        <v>-0.21710333162418313</v>
      </c>
      <c r="Q497" s="405">
        <f>MIN($I$495:Q495)</f>
        <v>-0.24259419867340173</v>
      </c>
      <c r="R497" s="405">
        <f>MIN($I$495:R495)</f>
        <v>-0.26871353004919185</v>
      </c>
      <c r="S497" s="405">
        <f>MIN($I$495:S495)</f>
        <v>-0.29547753327642073</v>
      </c>
      <c r="T497" s="405">
        <f>MIN($I$495:T495)</f>
        <v>-0.32290283842378581</v>
      </c>
      <c r="U497" s="405">
        <f>MIN($I$495:U495)</f>
        <v>-0.35100650914784692</v>
      </c>
      <c r="V497" s="405">
        <f>MIN($I$495:V495)</f>
        <v>-0.3798060540258828</v>
      </c>
      <c r="W497" s="405">
        <f>MIN($I$495:W495)</f>
        <v>-0.40931943818513289</v>
      </c>
      <c r="X497" s="405">
        <f>MIN($I$495:X495)</f>
        <v>-0.40931943818513289</v>
      </c>
      <c r="Y497" s="405">
        <f>MIN($I$495:Y495)</f>
        <v>-0.40931943818513289</v>
      </c>
      <c r="Z497" s="405">
        <f>MIN($I$495:Z495)</f>
        <v>-0.41218982312869296</v>
      </c>
      <c r="AA497" s="405">
        <f>MIN($I$495:AA495)</f>
        <v>-0.44420366901880204</v>
      </c>
      <c r="AB497" s="405">
        <f>MIN($I$495:AB495)</f>
        <v>-0.44420366901880204</v>
      </c>
      <c r="AC497" s="405">
        <f>MIN($I$495:AC495)</f>
        <v>-0.44420366901880204</v>
      </c>
      <c r="AD497" s="405">
        <f>MIN($I$495:AD495)</f>
        <v>-0.44420366901880204</v>
      </c>
      <c r="AE497" s="405">
        <f>MIN($I$495:AE495)</f>
        <v>-0.44420366901880204</v>
      </c>
      <c r="AF497" s="405">
        <f>MIN($I$495:AF495)</f>
        <v>-0.44420366901880204</v>
      </c>
      <c r="AG497" s="405">
        <f>MIN($I$495:AG495)</f>
        <v>-0.44420366901880204</v>
      </c>
      <c r="AH497" s="128"/>
      <c r="AI497" s="128"/>
      <c r="AJ497" s="128"/>
      <c r="AK497" s="128"/>
      <c r="AL497" s="128"/>
      <c r="AM497" s="128"/>
      <c r="AN497" s="128"/>
      <c r="AO497" s="128"/>
      <c r="AP497" s="128"/>
      <c r="AQ497" s="128"/>
      <c r="AR497" s="128"/>
      <c r="AS497" s="128"/>
      <c r="AT497" s="128"/>
      <c r="AU497" s="128"/>
      <c r="AV497" s="128"/>
      <c r="AW497" s="128"/>
      <c r="AX497" s="128"/>
      <c r="AY497" s="128"/>
      <c r="AZ497" s="128"/>
      <c r="BA497" s="128"/>
      <c r="BB497" s="128"/>
      <c r="BC497" s="128"/>
      <c r="BD497" s="128"/>
      <c r="BE497" s="128"/>
      <c r="BF497" s="128"/>
      <c r="BG497" s="128"/>
      <c r="BH497" s="128"/>
      <c r="BI497" s="128"/>
      <c r="BJ497" s="128"/>
      <c r="BK497" s="128"/>
      <c r="BL497" s="128"/>
      <c r="BM497" s="128"/>
      <c r="BN497" s="128"/>
      <c r="BO497" s="128"/>
      <c r="BP497" s="128"/>
      <c r="BQ497" s="128"/>
      <c r="BR497" s="128"/>
      <c r="BS497" s="128"/>
      <c r="BT497" s="128"/>
      <c r="BU497" s="128"/>
      <c r="BV497" s="128"/>
      <c r="BW497" s="128"/>
      <c r="BX497" s="128"/>
      <c r="BY497" s="128"/>
      <c r="BZ497" s="128"/>
      <c r="CA497" s="128"/>
      <c r="CB497" s="128"/>
      <c r="CC497" s="128"/>
      <c r="CD497" s="128"/>
      <c r="CE497" s="128"/>
      <c r="CF497" s="128"/>
      <c r="CG497" s="128"/>
      <c r="CH497" s="128"/>
      <c r="CI497" s="128"/>
      <c r="CJ497" s="128"/>
      <c r="CK497" s="128"/>
      <c r="CL497" s="128"/>
      <c r="CM497" s="128"/>
      <c r="CN497" s="128"/>
      <c r="CO497" s="128"/>
      <c r="CP497" s="128"/>
      <c r="CQ497" s="128"/>
      <c r="CR497" s="128"/>
      <c r="CS497" s="128"/>
      <c r="CT497" s="128"/>
      <c r="CU497" s="128"/>
    </row>
    <row r="498" spans="2:99" ht="15" outlineLevel="1" thickTop="1" thickBot="1">
      <c r="C498" s="406"/>
      <c r="F498" s="402"/>
      <c r="I498" s="407"/>
      <c r="J498" s="407"/>
      <c r="K498" s="407"/>
      <c r="L498" s="407"/>
      <c r="M498" s="407"/>
      <c r="N498" s="407"/>
      <c r="O498" s="407"/>
      <c r="P498" s="407"/>
      <c r="Q498" s="407"/>
      <c r="R498" s="407"/>
      <c r="S498" s="407"/>
      <c r="T498" s="407"/>
      <c r="U498" s="407"/>
      <c r="V498" s="407"/>
      <c r="W498" s="407"/>
      <c r="X498" s="407"/>
      <c r="Y498" s="407"/>
      <c r="Z498" s="407"/>
      <c r="AA498" s="407"/>
      <c r="AB498" s="407"/>
      <c r="AC498" s="407"/>
      <c r="AD498" s="407"/>
      <c r="AE498" s="407"/>
      <c r="AF498" s="407"/>
      <c r="AG498" s="407"/>
      <c r="AH498" s="128"/>
      <c r="AI498" s="128"/>
      <c r="AJ498" s="128"/>
      <c r="AK498" s="128"/>
      <c r="AL498" s="128"/>
      <c r="AM498" s="128"/>
      <c r="AN498" s="128"/>
      <c r="AO498" s="128"/>
      <c r="AP498" s="128"/>
      <c r="AQ498" s="128"/>
      <c r="AR498" s="128"/>
      <c r="AS498" s="128"/>
      <c r="AT498" s="128"/>
      <c r="AU498" s="128"/>
      <c r="AV498" s="128"/>
      <c r="AW498" s="128"/>
      <c r="AX498" s="128"/>
      <c r="AY498" s="128"/>
      <c r="AZ498" s="128"/>
      <c r="BA498" s="128"/>
      <c r="BB498" s="128"/>
      <c r="BC498" s="128"/>
      <c r="BD498" s="128"/>
      <c r="BE498" s="128"/>
      <c r="BF498" s="128"/>
      <c r="BG498" s="128"/>
      <c r="BH498" s="128"/>
      <c r="BI498" s="128"/>
      <c r="BJ498" s="128"/>
      <c r="BK498" s="128"/>
      <c r="BL498" s="128"/>
      <c r="BM498" s="128"/>
      <c r="BN498" s="128"/>
      <c r="BO498" s="128"/>
      <c r="BP498" s="128"/>
      <c r="BQ498" s="128"/>
      <c r="BR498" s="128"/>
      <c r="BS498" s="128"/>
      <c r="BT498" s="128"/>
      <c r="BU498" s="128"/>
      <c r="BV498" s="128"/>
      <c r="BW498" s="128"/>
      <c r="BX498" s="128"/>
      <c r="BY498" s="128"/>
      <c r="BZ498" s="128"/>
      <c r="CA498" s="128"/>
      <c r="CB498" s="128"/>
      <c r="CC498" s="128"/>
      <c r="CD498" s="128"/>
      <c r="CE498" s="128"/>
      <c r="CF498" s="128"/>
      <c r="CG498" s="128"/>
      <c r="CH498" s="128"/>
      <c r="CI498" s="128"/>
      <c r="CJ498" s="128"/>
      <c r="CK498" s="128"/>
      <c r="CL498" s="128"/>
      <c r="CM498" s="128"/>
      <c r="CN498" s="128"/>
      <c r="CO498" s="128"/>
      <c r="CP498" s="128"/>
      <c r="CQ498" s="128"/>
      <c r="CR498" s="128"/>
      <c r="CS498" s="128"/>
      <c r="CT498" s="128"/>
      <c r="CU498" s="128"/>
    </row>
    <row r="499" spans="2:99" ht="14.5" outlineLevel="1" thickBot="1">
      <c r="B499" s="132"/>
      <c r="C499" s="408" t="s">
        <v>525</v>
      </c>
      <c r="D499" s="133"/>
      <c r="E499" s="133"/>
      <c r="F499" s="146"/>
      <c r="G499" s="133"/>
      <c r="H499" s="133"/>
      <c r="I499" s="133"/>
      <c r="J499" s="133"/>
      <c r="K499" s="133"/>
      <c r="L499" s="133"/>
      <c r="M499" s="133"/>
      <c r="N499" s="133"/>
      <c r="O499" s="133"/>
      <c r="P499" s="133"/>
      <c r="Q499" s="133"/>
      <c r="R499" s="133"/>
      <c r="S499" s="133"/>
      <c r="T499" s="133"/>
      <c r="U499" s="133"/>
      <c r="V499" s="133"/>
      <c r="W499" s="133"/>
      <c r="X499" s="133"/>
      <c r="Y499" s="133"/>
      <c r="Z499" s="133"/>
      <c r="AA499" s="133"/>
      <c r="AB499" s="133"/>
      <c r="AC499" s="133"/>
      <c r="AD499" s="133"/>
      <c r="AE499" s="133"/>
      <c r="AF499" s="133"/>
      <c r="AG499" s="147"/>
      <c r="AH499" s="128"/>
      <c r="AI499" s="128"/>
      <c r="AJ499" s="128"/>
      <c r="AK499" s="128"/>
      <c r="AL499" s="128"/>
      <c r="AM499" s="128"/>
      <c r="AN499" s="128"/>
      <c r="AO499" s="128"/>
      <c r="AP499" s="128"/>
      <c r="AQ499" s="128"/>
      <c r="AR499" s="128"/>
      <c r="AS499" s="128"/>
      <c r="AT499" s="128"/>
      <c r="AU499" s="128"/>
      <c r="AV499" s="128"/>
      <c r="AW499" s="128"/>
      <c r="AX499" s="128"/>
      <c r="AY499" s="128"/>
      <c r="AZ499" s="128"/>
      <c r="BA499" s="128"/>
      <c r="BB499" s="128"/>
      <c r="BC499" s="128"/>
      <c r="BD499" s="128"/>
      <c r="BE499" s="128"/>
      <c r="BF499" s="128"/>
      <c r="BG499" s="128"/>
      <c r="BH499" s="128"/>
      <c r="BI499" s="128"/>
      <c r="BJ499" s="128"/>
      <c r="BK499" s="128"/>
      <c r="BL499" s="128"/>
      <c r="BM499" s="128"/>
      <c r="BN499" s="128"/>
      <c r="BO499" s="128"/>
      <c r="BP499" s="128"/>
      <c r="BQ499" s="128"/>
      <c r="BR499" s="128"/>
      <c r="BS499" s="128"/>
      <c r="BT499" s="128"/>
      <c r="BU499" s="128"/>
      <c r="BV499" s="128"/>
      <c r="BW499" s="128"/>
      <c r="BX499" s="128"/>
      <c r="BY499" s="128"/>
      <c r="BZ499" s="128"/>
      <c r="CA499" s="128"/>
      <c r="CB499" s="128"/>
      <c r="CC499" s="128"/>
      <c r="CD499" s="128"/>
      <c r="CE499" s="128"/>
      <c r="CF499" s="128"/>
      <c r="CG499" s="128"/>
      <c r="CH499" s="128"/>
      <c r="CI499" s="128"/>
      <c r="CJ499" s="128"/>
      <c r="CK499" s="128"/>
      <c r="CL499" s="128"/>
      <c r="CM499" s="128"/>
      <c r="CN499" s="128"/>
      <c r="CO499" s="128"/>
      <c r="CP499" s="128"/>
      <c r="CQ499" s="128"/>
      <c r="CR499" s="128"/>
      <c r="CS499" s="128"/>
      <c r="CT499" s="128"/>
      <c r="CU499" s="128"/>
    </row>
    <row r="500" spans="2:99" s="160" customFormat="1" ht="13" outlineLevel="1" thickBot="1">
      <c r="B500" s="186"/>
      <c r="C500" s="337" t="s">
        <v>526</v>
      </c>
      <c r="D500" s="338"/>
      <c r="E500" s="338"/>
      <c r="F500" s="346"/>
      <c r="G500" s="338"/>
      <c r="H500" s="338"/>
      <c r="I500" s="150">
        <f>IFERROR(NPV($D$22,$I$448:I448,I321)+$H$448, "N/A")</f>
        <v>-18370.259912159127</v>
      </c>
      <c r="J500" s="150">
        <f ca="1">IFERROR(NPV($D$22,$I$448:J448,J321)+$H$448, "N/A")</f>
        <v>-24837.059526380937</v>
      </c>
      <c r="K500" s="150">
        <f ca="1">IFERROR(NPV($D$22,$I$448:K448,K321)+$H$448, "N/A")</f>
        <v>-30294.141620386516</v>
      </c>
      <c r="L500" s="150">
        <f ca="1">IFERROR(NPV($D$22,$I$448:L448,L321)+$H$448, "N/A")</f>
        <v>-34799.23779685879</v>
      </c>
      <c r="M500" s="150">
        <f ca="1">IFERROR(NPV($D$22,$I$448:M448,M321)+$H$448, "N/A")</f>
        <v>-38404.822156016773</v>
      </c>
      <c r="N500" s="150">
        <f ca="1">IFERROR(NPV($D$22,$I$448:N448,N321)+$H$448, "N/A")</f>
        <v>-41158.498342052968</v>
      </c>
      <c r="O500" s="150">
        <f ca="1">IFERROR(NPV($D$22,$I$448:O448,O321)+$H$448, "N/A")</f>
        <v>-43708.441132047243</v>
      </c>
      <c r="P500" s="150">
        <f ca="1">IFERROR(NPV($D$22,$I$448:P448,P321)+$H$448, "N/A")</f>
        <v>-46071.139586571968</v>
      </c>
      <c r="Q500" s="150">
        <f ca="1">IFERROR(NPV($D$22,$I$448:Q448,Q321)+$H$448, "N/A")</f>
        <v>-48261.683175125683</v>
      </c>
      <c r="R500" s="150">
        <f ca="1">IFERROR(NPV($D$22,$I$448:R448,R321)+$H$448, "N/A")</f>
        <v>-50293.882476301689</v>
      </c>
      <c r="S500" s="150">
        <f ca="1">IFERROR(NPV($D$22,$I$448:S448,S321)+$H$448, "N/A")</f>
        <v>-52180.37948865669</v>
      </c>
      <c r="T500" s="150">
        <f ca="1">IFERROR(NPV($D$22,$I$448:T448,T321)+$H$448, "N/A")</f>
        <v>-53932.748437542759</v>
      </c>
      <c r="U500" s="150">
        <f ca="1">IFERROR(NPV($D$22,$I$448:U448,U321)+$H$448, "N/A")</f>
        <v>-55561.587888715629</v>
      </c>
      <c r="V500" s="150">
        <f ca="1">IFERROR(NPV($D$22,$I$448:V448,V321)+$H$448, "N/A")</f>
        <v>-57076.60491125963</v>
      </c>
      <c r="W500" s="150">
        <f ca="1">IFERROR(NPV($D$22,$I$448:W448,W321)+$H$448, "N/A")</f>
        <v>-58629.253123989605</v>
      </c>
      <c r="X500" s="150">
        <f ca="1">IFERROR(NPV($D$22,$I$448:X448,X321)+$H$448, "N/A")</f>
        <v>-59880.829460210982</v>
      </c>
      <c r="Y500" s="150">
        <f ca="1">IFERROR(NPV($D$22,$I$448:Y448,Y321)+$H$448, "N/A")</f>
        <v>-61062.014719308187</v>
      </c>
      <c r="Z500" s="150">
        <f ca="1">IFERROR(NPV($D$22,$I$448:Z448,Z321)+$H$448, "N/A")</f>
        <v>-62177.190540460106</v>
      </c>
      <c r="AA500" s="150">
        <f ca="1">IFERROR(NPV($D$22,$I$448:AA448,AA321)+$H$448, "N/A")</f>
        <v>-63230.431816340606</v>
      </c>
      <c r="AB500" s="150">
        <f ca="1">IFERROR(NPV($D$22,$I$448:AB448,AB321)+$H$448, "N/A")</f>
        <v>-64225.530392152214</v>
      </c>
      <c r="AC500" s="150">
        <f ca="1">IFERROR(NPV($D$22,$I$448:AC448,AC321)+$H$448, "N/A")</f>
        <v>-65166.016820256293</v>
      </c>
      <c r="AD500" s="150">
        <f ca="1">IFERROR(NPV($D$22,$I$448:AD448,AD321)+$H$448, "N/A")</f>
        <v>-66055.18033401687</v>
      </c>
      <c r="AE500" s="150">
        <f ca="1">IFERROR(NPV($D$22,$I$448:AE448,AE321)+$H$448, "N/A")</f>
        <v>-67066.936824736549</v>
      </c>
      <c r="AF500" s="150">
        <f ca="1">IFERROR(NPV($D$22,$I$448:AF448,AF321)+$H$448, "N/A")</f>
        <v>-68019.692095389997</v>
      </c>
      <c r="AG500" s="150">
        <f ca="1">IFERROR(NPV($D$22,$I$448:AG448,AG321)+$H$448, "N/A")</f>
        <v>-68917.198966440294</v>
      </c>
      <c r="AH500" s="179"/>
      <c r="AI500" s="179"/>
      <c r="AJ500" s="179"/>
      <c r="AK500" s="179"/>
      <c r="AL500" s="179"/>
      <c r="AM500" s="179"/>
      <c r="AN500" s="179"/>
      <c r="AO500" s="179"/>
      <c r="AP500" s="179"/>
      <c r="AQ500" s="179"/>
      <c r="AR500" s="179"/>
      <c r="AS500" s="179"/>
      <c r="AT500" s="179"/>
      <c r="AU500" s="179"/>
      <c r="AV500" s="179"/>
      <c r="AW500" s="179"/>
      <c r="AX500" s="179"/>
      <c r="AY500" s="179"/>
      <c r="AZ500" s="179"/>
      <c r="BA500" s="179"/>
      <c r="BB500" s="179"/>
      <c r="BC500" s="179"/>
      <c r="BD500" s="179"/>
      <c r="BE500" s="179"/>
      <c r="BF500" s="179"/>
      <c r="BG500" s="179"/>
      <c r="BH500" s="179"/>
      <c r="BI500" s="179"/>
      <c r="BJ500" s="179"/>
      <c r="BK500" s="179"/>
      <c r="BL500" s="179"/>
      <c r="BM500" s="179"/>
      <c r="BN500" s="179"/>
      <c r="BO500" s="179"/>
      <c r="BP500" s="179"/>
      <c r="BQ500" s="179"/>
      <c r="BR500" s="179"/>
      <c r="BS500" s="179"/>
      <c r="BT500" s="179"/>
      <c r="BU500" s="179"/>
      <c r="BV500" s="179"/>
      <c r="BW500" s="179"/>
      <c r="BX500" s="179"/>
      <c r="BY500" s="179"/>
      <c r="BZ500" s="179"/>
      <c r="CA500" s="179"/>
      <c r="CB500" s="179"/>
      <c r="CC500" s="179"/>
      <c r="CD500" s="179"/>
      <c r="CE500" s="179"/>
      <c r="CF500" s="179"/>
      <c r="CG500" s="179"/>
      <c r="CH500" s="179"/>
      <c r="CI500" s="179"/>
      <c r="CJ500" s="179"/>
      <c r="CK500" s="179"/>
      <c r="CL500" s="179"/>
      <c r="CM500" s="179"/>
      <c r="CN500" s="179"/>
      <c r="CO500" s="179"/>
      <c r="CP500" s="179"/>
      <c r="CQ500" s="179"/>
      <c r="CR500" s="179"/>
      <c r="CS500" s="179"/>
      <c r="CT500" s="179"/>
      <c r="CU500" s="179"/>
    </row>
    <row r="501" spans="2:99" ht="15" outlineLevel="1" thickTop="1" thickBot="1">
      <c r="B501" s="292"/>
      <c r="C501" s="293" t="s">
        <v>527</v>
      </c>
      <c r="D501" s="294"/>
      <c r="E501" s="294"/>
      <c r="F501" s="341"/>
      <c r="G501" s="294"/>
      <c r="H501" s="401"/>
      <c r="I501" s="271">
        <f ca="1">IFERROR(NPV($D$46,$I459:I459,I321*($D$44+$D$45))+$H$459, "N/A")</f>
        <v>-12716.768039398608</v>
      </c>
      <c r="J501" s="271">
        <f ca="1">IFERROR(NPV($D$46,$I459:J459,J321*($D$44+$D$45))+$H$459, "N/A")</f>
        <v>-19804.183330113243</v>
      </c>
      <c r="K501" s="271">
        <f ca="1">IFERROR(NPV($D$46,$I459:K459,K321*($D$44+$D$45))+$H$459, "N/A")</f>
        <v>-26698.95999951948</v>
      </c>
      <c r="L501" s="271">
        <f ca="1">IFERROR(NPV($D$46,$I459:L459,L321*($D$44+$D$45))+$H$459, "N/A")</f>
        <v>-33421.570095022682</v>
      </c>
      <c r="M501" s="271">
        <f ca="1">IFERROR(NPV($D$46,$I459:M459,M321*($D$44+$D$45))+$H$459, "N/A")</f>
        <v>-39991.49423432241</v>
      </c>
      <c r="N501" s="271">
        <f ca="1">IFERROR(NPV($D$46,$I459:N459,N321*($D$44+$D$45))+$H$459, "N/A")</f>
        <v>-40981.524781908287</v>
      </c>
      <c r="O501" s="271">
        <f ca="1">IFERROR(NPV($D$46,$I459:O459,O321*($D$44+$D$45))+$H$459, "N/A")</f>
        <v>-41956.015341764207</v>
      </c>
      <c r="P501" s="271">
        <f ca="1">IFERROR(NPV($D$46,$I459:P459,P321*($D$44+$D$45))+$H$459, "N/A")</f>
        <v>-42913.251537502467</v>
      </c>
      <c r="Q501" s="271">
        <f ca="1">IFERROR(NPV($D$46,$I459:Q459,Q321*($D$44+$D$45))+$H$459, "N/A")</f>
        <v>-43851.783595843197</v>
      </c>
      <c r="R501" s="271">
        <f ca="1">IFERROR(NPV($D$46,$I459:R459,R321*($D$44+$D$45))+$H$459, "N/A")</f>
        <v>-44770.400381181098</v>
      </c>
      <c r="S501" s="271">
        <f ca="1">IFERROR(NPV($D$46,$I459:S459,S321*($D$44+$D$45))+$H$459, "N/A")</f>
        <v>-45668.105637708497</v>
      </c>
      <c r="T501" s="271">
        <f ca="1">IFERROR(NPV($D$46,$I459:T459,T321*($D$44+$D$45))+$H$459, "N/A")</f>
        <v>-46544.0962629067</v>
      </c>
      <c r="U501" s="271">
        <f ca="1">IFERROR(NPV($D$46,$I459:U459,U321*($D$44+$D$45))+$H$459, "N/A")</f>
        <v>-47397.742449900739</v>
      </c>
      <c r="V501" s="271">
        <f ca="1">IFERROR(NPV($D$46,$I459:V459,V321*($D$44+$D$45))+$H$459, "N/A")</f>
        <v>-48228.56954880069</v>
      </c>
      <c r="W501" s="271">
        <f ca="1">IFERROR(NPV($D$46,$I459:W459,W321*($D$44+$D$45))+$H$459, "N/A")</f>
        <v>-50069.809876918356</v>
      </c>
      <c r="X501" s="271">
        <f ca="1">IFERROR(NPV($D$46,$I459:X459,X321*($D$44+$D$45))+$H$459, "N/A")</f>
        <v>-50823.249710543518</v>
      </c>
      <c r="Y501" s="271">
        <f ca="1">IFERROR(NPV($D$46,$I459:Y459,Y321*($D$44+$D$45))+$H$459, "N/A")</f>
        <v>-51562.680455094829</v>
      </c>
      <c r="Z501" s="271">
        <f ca="1">IFERROR(NPV($D$46,$I459:Z459,Z321*($D$44+$D$45))+$H$459, "N/A")</f>
        <v>-52286.864121906096</v>
      </c>
      <c r="AA501" s="271">
        <f ca="1">IFERROR(NPV($D$46,$I459:AA459,AA321*($D$44+$D$45))+$H$459, "N/A")</f>
        <v>-52994.779147075096</v>
      </c>
      <c r="AB501" s="271">
        <f ca="1">IFERROR(NPV($D$46,$I459:AB459,AB321*($D$44+$D$45))+$H$459, "N/A")</f>
        <v>-53685.597418363221</v>
      </c>
      <c r="AC501" s="271">
        <f ca="1">IFERROR(NPV($D$46,$I459:AC459,AC321*($D$44+$D$45))+$H$459, "N/A")</f>
        <v>-54358.66340145767</v>
      </c>
      <c r="AD501" s="271">
        <f ca="1">IFERROR(NPV($D$46,$I459:AD459,AD321*($D$44+$D$45))+$H$459, "N/A")</f>
        <v>-55013.475186225362</v>
      </c>
      <c r="AE501" s="271">
        <f ca="1">IFERROR(NPV($D$46,$I459:AE459,AE321*($D$44+$D$45))+$H$459, "N/A")</f>
        <v>-55820.516922474009</v>
      </c>
      <c r="AF501" s="271">
        <f ca="1">IFERROR(NPV($D$46,$I459:AF459,AF321*($D$44+$D$45))+$H$459, "N/A")</f>
        <v>-56595.089630829309</v>
      </c>
      <c r="AG501" s="271">
        <f ca="1">IFERROR(NPV($D$46,$I459:AG459,AG321*($D$44+$D$45))+$H$459, "N/A")</f>
        <v>-57338.138700016672</v>
      </c>
      <c r="AH501" s="128"/>
      <c r="AI501" s="128"/>
      <c r="AJ501" s="128"/>
      <c r="AK501" s="128"/>
      <c r="AL501" s="128"/>
      <c r="AM501" s="128"/>
      <c r="AN501" s="128"/>
      <c r="AO501" s="128"/>
      <c r="AP501" s="128"/>
      <c r="AQ501" s="128"/>
      <c r="AR501" s="128"/>
      <c r="AS501" s="128"/>
      <c r="AT501" s="128"/>
      <c r="AU501" s="128"/>
      <c r="AV501" s="128"/>
      <c r="AW501" s="128"/>
      <c r="AX501" s="128"/>
      <c r="AY501" s="128"/>
      <c r="AZ501" s="128"/>
      <c r="BA501" s="128"/>
      <c r="BB501" s="128"/>
      <c r="BC501" s="128"/>
      <c r="BD501" s="128"/>
      <c r="BE501" s="128"/>
      <c r="BF501" s="128"/>
      <c r="BG501" s="128"/>
      <c r="BH501" s="128"/>
      <c r="BI501" s="128"/>
      <c r="BJ501" s="128"/>
      <c r="BK501" s="128"/>
      <c r="BL501" s="128"/>
      <c r="BM501" s="128"/>
      <c r="BN501" s="128"/>
      <c r="BO501" s="128"/>
      <c r="BP501" s="128"/>
      <c r="BQ501" s="128"/>
      <c r="BR501" s="128"/>
      <c r="BS501" s="128"/>
      <c r="BT501" s="128"/>
      <c r="BU501" s="128"/>
      <c r="BV501" s="128"/>
      <c r="BW501" s="128"/>
      <c r="BX501" s="128"/>
      <c r="BY501" s="128"/>
      <c r="BZ501" s="128"/>
      <c r="CA501" s="128"/>
      <c r="CB501" s="128"/>
      <c r="CC501" s="128"/>
      <c r="CD501" s="128"/>
      <c r="CE501" s="128"/>
      <c r="CF501" s="128"/>
      <c r="CG501" s="128"/>
      <c r="CH501" s="128"/>
      <c r="CI501" s="128"/>
      <c r="CJ501" s="128"/>
      <c r="CK501" s="128"/>
      <c r="CL501" s="128"/>
      <c r="CM501" s="128"/>
      <c r="CN501" s="128"/>
      <c r="CO501" s="128"/>
      <c r="CP501" s="128"/>
      <c r="CQ501" s="128"/>
      <c r="CR501" s="128"/>
      <c r="CS501" s="128"/>
      <c r="CT501" s="128"/>
      <c r="CU501" s="128"/>
    </row>
    <row r="502" spans="2:99" ht="15" outlineLevel="1" thickTop="1" thickBot="1">
      <c r="C502" s="406"/>
      <c r="F502" s="402"/>
      <c r="J502" s="409"/>
      <c r="AH502" s="128"/>
      <c r="AI502" s="128"/>
      <c r="AJ502" s="128"/>
      <c r="AK502" s="128"/>
      <c r="AL502" s="128"/>
      <c r="AM502" s="128"/>
      <c r="AN502" s="128"/>
      <c r="AO502" s="128"/>
      <c r="AP502" s="128"/>
      <c r="AQ502" s="128"/>
      <c r="AR502" s="128"/>
      <c r="AS502" s="128"/>
      <c r="AT502" s="128"/>
      <c r="AU502" s="128"/>
      <c r="AV502" s="128"/>
      <c r="AW502" s="128"/>
      <c r="AX502" s="128"/>
      <c r="AY502" s="128"/>
      <c r="AZ502" s="128"/>
      <c r="BA502" s="128"/>
      <c r="BB502" s="128"/>
      <c r="BC502" s="128"/>
      <c r="BD502" s="128"/>
      <c r="BE502" s="128"/>
      <c r="BF502" s="128"/>
      <c r="BG502" s="128"/>
      <c r="BH502" s="128"/>
      <c r="BI502" s="128"/>
      <c r="BJ502" s="128"/>
      <c r="BK502" s="128"/>
      <c r="BL502" s="128"/>
      <c r="BM502" s="128"/>
      <c r="BN502" s="128"/>
      <c r="BO502" s="128"/>
      <c r="BP502" s="128"/>
      <c r="BQ502" s="128"/>
      <c r="BR502" s="128"/>
      <c r="BS502" s="128"/>
      <c r="BT502" s="128"/>
      <c r="BU502" s="128"/>
      <c r="BV502" s="128"/>
      <c r="BW502" s="128"/>
      <c r="BX502" s="128"/>
      <c r="BY502" s="128"/>
      <c r="BZ502" s="128"/>
      <c r="CA502" s="128"/>
      <c r="CB502" s="128"/>
      <c r="CC502" s="128"/>
      <c r="CD502" s="128"/>
      <c r="CE502" s="128"/>
      <c r="CF502" s="128"/>
      <c r="CG502" s="128"/>
      <c r="CH502" s="128"/>
      <c r="CI502" s="128"/>
      <c r="CJ502" s="128"/>
      <c r="CK502" s="128"/>
      <c r="CL502" s="128"/>
      <c r="CM502" s="128"/>
      <c r="CN502" s="128"/>
      <c r="CO502" s="128"/>
      <c r="CP502" s="128"/>
      <c r="CQ502" s="128"/>
      <c r="CR502" s="128"/>
      <c r="CS502" s="128"/>
      <c r="CT502" s="128"/>
      <c r="CU502" s="128"/>
    </row>
    <row r="503" spans="2:99" ht="14.5" outlineLevel="1" thickBot="1">
      <c r="B503" s="132"/>
      <c r="C503" s="408" t="s">
        <v>528</v>
      </c>
      <c r="D503" s="133"/>
      <c r="E503" s="133"/>
      <c r="F503" s="146"/>
      <c r="G503" s="133"/>
      <c r="H503" s="133"/>
      <c r="I503" s="133"/>
      <c r="J503" s="133"/>
      <c r="K503" s="133"/>
      <c r="L503" s="133"/>
      <c r="M503" s="133"/>
      <c r="N503" s="133"/>
      <c r="O503" s="133"/>
      <c r="P503" s="133"/>
      <c r="Q503" s="133"/>
      <c r="R503" s="133"/>
      <c r="S503" s="133"/>
      <c r="T503" s="133"/>
      <c r="U503" s="133"/>
      <c r="V503" s="133"/>
      <c r="W503" s="133"/>
      <c r="X503" s="133"/>
      <c r="Y503" s="133"/>
      <c r="Z503" s="133"/>
      <c r="AA503" s="133"/>
      <c r="AB503" s="133"/>
      <c r="AC503" s="133"/>
      <c r="AD503" s="133"/>
      <c r="AE503" s="133"/>
      <c r="AF503" s="133"/>
      <c r="AG503" s="147"/>
      <c r="AH503" s="128"/>
      <c r="AI503" s="128"/>
      <c r="AJ503" s="128"/>
      <c r="AK503" s="128"/>
      <c r="AL503" s="128"/>
      <c r="AM503" s="128"/>
      <c r="AN503" s="128"/>
      <c r="AO503" s="128"/>
      <c r="AP503" s="128"/>
      <c r="AQ503" s="128"/>
      <c r="AR503" s="128"/>
      <c r="AS503" s="128"/>
      <c r="AT503" s="128"/>
      <c r="AU503" s="128"/>
      <c r="AV503" s="128"/>
      <c r="AW503" s="128"/>
      <c r="AX503" s="128"/>
      <c r="AY503" s="128"/>
      <c r="AZ503" s="128"/>
      <c r="BA503" s="128"/>
      <c r="BB503" s="128"/>
      <c r="BC503" s="128"/>
      <c r="BD503" s="128"/>
      <c r="BE503" s="128"/>
      <c r="BF503" s="128"/>
      <c r="BG503" s="128"/>
      <c r="BH503" s="128"/>
      <c r="BI503" s="128"/>
      <c r="BJ503" s="128"/>
      <c r="BK503" s="128"/>
      <c r="BL503" s="128"/>
      <c r="BM503" s="128"/>
      <c r="BN503" s="128"/>
      <c r="BO503" s="128"/>
      <c r="BP503" s="128"/>
      <c r="BQ503" s="128"/>
      <c r="BR503" s="128"/>
      <c r="BS503" s="128"/>
      <c r="BT503" s="128"/>
      <c r="BU503" s="128"/>
      <c r="BV503" s="128"/>
      <c r="BW503" s="128"/>
      <c r="BX503" s="128"/>
      <c r="BY503" s="128"/>
      <c r="BZ503" s="128"/>
      <c r="CA503" s="128"/>
      <c r="CB503" s="128"/>
      <c r="CC503" s="128"/>
      <c r="CD503" s="128"/>
      <c r="CE503" s="128"/>
      <c r="CF503" s="128"/>
      <c r="CG503" s="128"/>
      <c r="CH503" s="128"/>
      <c r="CI503" s="128"/>
      <c r="CJ503" s="128"/>
      <c r="CK503" s="128"/>
      <c r="CL503" s="128"/>
      <c r="CM503" s="128"/>
      <c r="CN503" s="128"/>
      <c r="CO503" s="128"/>
      <c r="CP503" s="128"/>
      <c r="CQ503" s="128"/>
      <c r="CR503" s="128"/>
      <c r="CS503" s="128"/>
      <c r="CT503" s="128"/>
      <c r="CU503" s="128"/>
    </row>
    <row r="504" spans="2:99" s="160" customFormat="1" ht="13" outlineLevel="1" thickBot="1">
      <c r="B504" s="410"/>
      <c r="C504" s="337" t="s">
        <v>529</v>
      </c>
      <c r="D504" s="338"/>
      <c r="E504" s="338"/>
      <c r="F504" s="346"/>
      <c r="G504" s="338"/>
      <c r="H504" s="338"/>
      <c r="I504" s="404">
        <f>IFERROR(IF(IRR(($H$448:I448,I321),0.1) &lt;0, IRR(($H$448:I448,I321),-0.1), IRR(($H$448:I448,I321),0.1)), "N/A")</f>
        <v>-9.0737903818769672E-2</v>
      </c>
      <c r="J504" s="404">
        <f ca="1">IFERROR(IF(IRR(($H$448:J448,J321),0.1) &lt;0, IRR(($H$448:J448,J321),-0.1), IRR(($H$448:J448,J321),0.1)), "N/A")</f>
        <v>-8.3925546086845992E-2</v>
      </c>
      <c r="K504" s="404">
        <f ca="1">IFERROR(IF(IRR(($H$448:K448,K321),0.1) &lt;0, IRR(($H$448:K448,K321),-0.1), IRR(($H$448:K448,K321),0.1)), "N/A")</f>
        <v>-7.9282766329289212E-2</v>
      </c>
      <c r="L504" s="404">
        <f ca="1">IFERROR(IF(IRR(($H$448:L448,L321),0.1) &lt;0, IRR(($H$448:L448,L321),-0.1), IRR(($H$448:L448,L321),0.1)), "N/A")</f>
        <v>-7.509660090277448E-2</v>
      </c>
      <c r="M504" s="404">
        <f ca="1">IFERROR(IF(IRR(($H$448:M448,M321),0.1) &lt;0, IRR(($H$448:M448,M321),-0.1), IRR(($H$448:M448,M321),0.1)), "N/A")</f>
        <v>-7.0710597960054633E-2</v>
      </c>
      <c r="N504" s="404">
        <f ca="1">IFERROR(IF(IRR(($H$448:N448,N321),0.1) &lt;0, IRR(($H$448:N448,N321),-0.1), IRR(($H$448:N448,N321),0.1)), "N/A")</f>
        <v>-6.5767208849875525E-2</v>
      </c>
      <c r="O504" s="404">
        <f ca="1">IFERROR(IF(IRR(($H$448:O448,O321),0.1) &lt;0, IRR(($H$448:O448,O321),-0.1), IRR(($H$448:O448,O321),0.1)), "N/A")</f>
        <v>-6.2972950195775645E-2</v>
      </c>
      <c r="P504" s="404">
        <f ca="1">IFERROR(IF(IRR(($H$448:P448,P321),0.1) &lt;0, IRR(($H$448:P448,P321),-0.1), IRR(($H$448:P448,P321),0.1)), "N/A")</f>
        <v>-6.169250578809482E-2</v>
      </c>
      <c r="Q504" s="404">
        <f ca="1">IFERROR(IF(IRR(($H$448:Q448,Q321),0.1) &lt;0, IRR(($H$448:Q448,Q321),-0.1), IRR(($H$448:Q448,Q321),0.1)), "N/A")</f>
        <v>-6.1581083602507358E-2</v>
      </c>
      <c r="R504" s="404">
        <f ca="1">IFERROR(IF(IRR(($H$448:R448,R321),0.1) &lt;0, IRR(($H$448:R448,R321),-0.1), IRR(($H$448:R448,R321),0.1)), "N/A")</f>
        <v>-6.2456881614513571E-2</v>
      </c>
      <c r="S504" s="404">
        <f ca="1">IFERROR(IF(IRR(($H$448:S448,S321),0.1) &lt;0, IRR(($H$448:S448,S321),-0.1), IRR(($H$448:S448,S321),0.1)), "N/A")</f>
        <v>-6.4244368447471722E-2</v>
      </c>
      <c r="T504" s="404">
        <f ca="1">IFERROR(IF(IRR(($H$448:T448,T321),0.1) &lt;0, IRR(($H$448:T448,T321),-0.1), IRR(($H$448:T448,T321),0.1)), "N/A")</f>
        <v>-6.6952210647308497E-2</v>
      </c>
      <c r="U504" s="404">
        <f ca="1">IFERROR(IF(IRR(($H$448:U448,U321),0.1) &lt;0, IRR(($H$448:U448,U321),-0.1), IRR(($H$448:U448,U321),0.1)), "N/A")</f>
        <v>-7.0674042597040354E-2</v>
      </c>
      <c r="V504" s="404">
        <f ca="1">IFERROR(IF(IRR(($H$448:V448,V321),0.1) &lt;0, IRR(($H$448:V448,V321),-0.1), IRR(($H$448:V448,V321),0.1)), "N/A")</f>
        <v>-7.5613285145982534E-2</v>
      </c>
      <c r="W504" s="404">
        <f ca="1">IFERROR(IF(IRR(($H$448:W448,W321),0.1) &lt;0, IRR(($H$448:W448,W321),-0.1), IRR(($H$448:W448,W321),0.1)), "N/A")</f>
        <v>-8.0373648872570369E-2</v>
      </c>
      <c r="X504" s="404">
        <f ca="1">IFERROR(IF(IRR(($H$448:X448,X321),0.1) &lt;0, IRR(($H$448:X448,X321),-0.1), IRR(($H$448:X448,X321),0.1)), "N/A")</f>
        <v>-8.3985271677358586E-2</v>
      </c>
      <c r="Y504" s="404">
        <f ca="1">IFERROR(IF(IRR(($H$448:Y448,Y321),0.1) &lt;0, IRR(($H$448:Y448,Y321),-0.1), IRR(($H$448:Y448,Y321),0.1)), "N/A")</f>
        <v>-8.9036655750898808E-2</v>
      </c>
      <c r="Z504" s="404">
        <f ca="1">IFERROR(IF(IRR(($H$448:Z448,Z321),0.1) &lt;0, IRR(($H$448:Z448,Z321),-0.1), IRR(($H$448:Z448,Z321),0.1)), "N/A")</f>
        <v>-9.5944718753483316E-2</v>
      </c>
      <c r="AA504" s="404">
        <f ca="1">IFERROR(IF(IRR(($H$448:AA448,AA321),0.1) &lt;0, IRR(($H$448:AA448,AA321),-0.1), IRR(($H$448:AA448,AA321),0.1)), "N/A")</f>
        <v>-0.10548186656190472</v>
      </c>
      <c r="AB504" s="404">
        <f ca="1">IFERROR(IF(IRR(($H$448:AB448,AB321),0.1) &lt;0, IRR(($H$448:AB448,AB321),-0.1), IRR(($H$448:AB448,AB321),0.1)), "N/A")</f>
        <v>-0.11915811403702925</v>
      </c>
      <c r="AC504" s="404">
        <f ca="1">IFERROR(IF(IRR(($H$448:AC448,AC321),0.1) &lt;0, IRR(($H$448:AC448,AC321),-0.1), IRR(($H$448:AC448,AC321),0.1)), "N/A")</f>
        <v>-0.14024243850272444</v>
      </c>
      <c r="AD504" s="404" t="str">
        <f ca="1">IFERROR(IF(IRR(($H$448:AD448,AD321),0.1) &lt;0, IRR(($H$448:AD448,AD321),-0.1), IRR(($H$448:AD448,AD321),0.1)), "N/A")</f>
        <v>N/A</v>
      </c>
      <c r="AE504" s="404" t="str">
        <f ca="1">IFERROR(IF(IRR(($H$448:AE448,AE321),0.1) &lt;0, IRR(($H$448:AE448,AE321),-0.1), IRR(($H$448:AE448,AE321),0.1)), "N/A")</f>
        <v>N/A</v>
      </c>
      <c r="AF504" s="404" t="str">
        <f ca="1">IFERROR(IF(IRR(($H$448:AF448,AF321),0.1) &lt;0, IRR(($H$448:AF448,AF321),-0.1), IRR(($H$448:AF448,AF321),0.1)), "N/A")</f>
        <v>N/A</v>
      </c>
      <c r="AG504" s="404" t="str">
        <f ca="1">IFERROR(IF(IRR(($H$448:AG448,AG321),0.1) &lt;0, IRR(($H$448:AG448,AG321),-0.1), IRR(($H$448:AG448,AG321),0.1)), "N/A")</f>
        <v>N/A</v>
      </c>
      <c r="AH504" s="179"/>
      <c r="AI504" s="179"/>
      <c r="AJ504" s="179"/>
      <c r="AK504" s="179"/>
      <c r="AL504" s="179"/>
      <c r="AM504" s="179"/>
      <c r="AN504" s="179"/>
      <c r="AO504" s="179"/>
      <c r="AP504" s="179"/>
      <c r="AQ504" s="179"/>
      <c r="AR504" s="179"/>
      <c r="AS504" s="179"/>
      <c r="AT504" s="179"/>
      <c r="AU504" s="179"/>
      <c r="AV504" s="179"/>
      <c r="AW504" s="179"/>
      <c r="AX504" s="179"/>
      <c r="AY504" s="179"/>
      <c r="AZ504" s="179"/>
      <c r="BA504" s="179"/>
      <c r="BB504" s="179"/>
      <c r="BC504" s="179"/>
      <c r="BD504" s="179"/>
      <c r="BE504" s="179"/>
      <c r="BF504" s="179"/>
      <c r="BG504" s="179"/>
      <c r="BH504" s="179"/>
      <c r="BI504" s="179"/>
      <c r="BJ504" s="179"/>
      <c r="BK504" s="179"/>
      <c r="BL504" s="179"/>
      <c r="BM504" s="179"/>
      <c r="BN504" s="179"/>
      <c r="BO504" s="179"/>
      <c r="BP504" s="179"/>
      <c r="BQ504" s="179"/>
      <c r="BR504" s="179"/>
      <c r="BS504" s="179"/>
      <c r="BT504" s="179"/>
      <c r="BU504" s="179"/>
      <c r="BV504" s="179"/>
      <c r="BW504" s="179"/>
      <c r="BX504" s="179"/>
      <c r="BY504" s="179"/>
      <c r="BZ504" s="179"/>
      <c r="CA504" s="179"/>
      <c r="CB504" s="179"/>
      <c r="CC504" s="179"/>
      <c r="CD504" s="179"/>
      <c r="CE504" s="179"/>
      <c r="CF504" s="179"/>
      <c r="CG504" s="179"/>
      <c r="CH504" s="179"/>
      <c r="CI504" s="179"/>
      <c r="CJ504" s="179"/>
      <c r="CK504" s="179"/>
      <c r="CL504" s="179"/>
      <c r="CM504" s="179"/>
      <c r="CN504" s="179"/>
      <c r="CO504" s="179"/>
      <c r="CP504" s="179"/>
      <c r="CQ504" s="179"/>
      <c r="CR504" s="179"/>
      <c r="CS504" s="179"/>
      <c r="CT504" s="179"/>
      <c r="CU504" s="179"/>
    </row>
    <row r="505" spans="2:99" ht="15" outlineLevel="1" thickTop="1" thickBot="1">
      <c r="B505" s="292"/>
      <c r="C505" s="293" t="s">
        <v>530</v>
      </c>
      <c r="D505" s="294"/>
      <c r="E505" s="294"/>
      <c r="F505" s="341"/>
      <c r="G505" s="294"/>
      <c r="H505" s="401"/>
      <c r="I505" s="405">
        <f ca="1">IFERROR(IFERROR(IRR(($H$459:I459,I321),0.1),IRR(($H$459:I459,I321),-0.1)), "N/A")</f>
        <v>0.2318187182072573</v>
      </c>
      <c r="J505" s="405">
        <f ca="1">IFERROR(IFERROR(IRR((($H$459:J459,J321)),0.1),IRR((($H$459:J459,J321)),-0.1)), "N/A")</f>
        <v>8.1487094797764836E-2</v>
      </c>
      <c r="K505" s="405">
        <f ca="1">IFERROR(IFERROR(IRR((($H$459:K459,K321)),0.1),IRR((($H$459:K459,K321)),-0.1)), "N/A")</f>
        <v>7.6513852489867862E-3</v>
      </c>
      <c r="L505" s="405">
        <f ca="1">IFERROR(IFERROR(IRR((($H$459:L459,L321)),0.1),IRR((($H$459:L459,L321)),-0.1)), "N/A")</f>
        <v>-3.9494622315196626E-2</v>
      </c>
      <c r="M505" s="405">
        <f ca="1">IFERROR(IFERROR(IRR((($H$459:M459,M321)),0.1),IRR((($H$459:M459,M321)),-0.1)), "N/A")</f>
        <v>-7.5000070022383403E-2</v>
      </c>
      <c r="N505" s="405">
        <f ca="1">IFERROR(IFERROR(IRR((($H$459:N459,N321)),0.1),IRR((($H$459:N459,N321)),-0.1)), "N/A")</f>
        <v>-6.7630901700478474E-2</v>
      </c>
      <c r="O505" s="405">
        <f ca="1">IFERROR(IFERROR(IRR((($H$459:O459,O321)),0.1),IRR((($H$459:O459,O321)),-0.1)), "N/A")</f>
        <v>-6.3782843757491436E-2</v>
      </c>
      <c r="P505" s="405">
        <f ca="1">IFERROR(IFERROR(IRR((($H$459:P459,P321)),0.1),IRR((($H$459:P459,P321)),-0.1)), "N/A")</f>
        <v>-6.2092702576105885E-2</v>
      </c>
      <c r="Q505" s="405">
        <f ca="1">IFERROR(IFERROR(IRR((($H$459:Q459,Q321)),0.1),IRR((($H$459:Q459,Q321)),-0.1)), "N/A")</f>
        <v>-6.191241604218245E-2</v>
      </c>
      <c r="R505" s="405">
        <f ca="1">IFERROR(IFERROR(IRR((($H$459:R459,R321)),0.1),IRR((($H$459:R459,R321)),-0.1)), "N/A")</f>
        <v>-6.2920390657558722E-2</v>
      </c>
      <c r="S505" s="405">
        <f ca="1">IFERROR(IFERROR(IRR((($H$459:S459,S321)),0.1),IRR((($H$459:S459,S321)),-0.1)), "N/A")</f>
        <v>-6.4974044883881699E-2</v>
      </c>
      <c r="T505" s="405">
        <f ca="1">IFERROR(IFERROR(IRR((($H$459:T459,T321)),0.1),IRR((($H$459:T459,T321)),-0.1)), "N/A")</f>
        <v>-6.8051931715260694E-2</v>
      </c>
      <c r="U505" s="405">
        <f ca="1">IFERROR(IFERROR(IRR((($H$459:U459,U321)),0.1),IRR((($H$459:U459,U321)),-0.1)), "N/A")</f>
        <v>-7.2239793905504612E-2</v>
      </c>
      <c r="V505" s="405">
        <f ca="1">IFERROR(IFERROR(IRR((($H$459:V459,V321)),0.1),IRR((($H$459:V459,V321)),-0.1)), "N/A")</f>
        <v>-7.7750592195169332E-2</v>
      </c>
      <c r="W505" s="405">
        <f ca="1">IFERROR(IFERROR(IRR((($H$459:W459,W321)),0.1),IRR((($H$459:W459,W321)),-0.1)), "N/A")</f>
        <v>-8.2920118504207663E-2</v>
      </c>
      <c r="X505" s="405">
        <f ca="1">IFERROR(IFERROR(IRR((($H$459:X459,X321)),0.1),IRR((($H$459:X459,X321)),-0.1)), "N/A")</f>
        <v>-8.6723662826126313E-2</v>
      </c>
      <c r="Y505" s="405">
        <f ca="1">IFERROR(IFERROR(IRR((($H$459:Y459,Y321)),0.1),IRR((($H$459:Y459,Y321)),-0.1)), "N/A")</f>
        <v>-9.2064881090549333E-2</v>
      </c>
      <c r="Z505" s="405">
        <f ca="1">IFERROR(IFERROR(IRR((($H$459:Z459,Z321)),0.1),IRR((($H$459:Z459,Z321)),-0.1)), "N/A")</f>
        <v>-9.9351129081167389E-2</v>
      </c>
      <c r="AA505" s="405">
        <f ca="1">IFERROR(IFERROR(IRR((($H$459:AA459,AA321)),0.1),IRR((($H$459:AA459,AA321)),-0.1)), "N/A")</f>
        <v>-0.1093423222393699</v>
      </c>
      <c r="AB505" s="405">
        <f ca="1">IFERROR(IFERROR(IRR((($H$459:AB459,AB321)),0.1),IRR((($H$459:AB459,AB321)),-0.1)), "N/A")</f>
        <v>-0.12350222289639767</v>
      </c>
      <c r="AC505" s="405">
        <f ca="1">IFERROR(IFERROR(IRR((($H$459:AC459,AC321)),0.1),IRR((($H$459:AC459,AC321)),-0.1)), "N/A")</f>
        <v>-0.14490367796252834</v>
      </c>
      <c r="AD505" s="405" t="str">
        <f ca="1">IFERROR(IFERROR(IRR((($H$459:AD459,AD321)),0.1),IRR((($H$459:AD459,AD321)),-0.1)), "N/A")</f>
        <v>N/A</v>
      </c>
      <c r="AE505" s="405" t="str">
        <f ca="1">IFERROR(IFERROR(IRR((($H$459:AE459,AE321)),0.1),IRR((($H$459:AE459,AE321)),-0.1)), "N/A")</f>
        <v>N/A</v>
      </c>
      <c r="AF505" s="405" t="str">
        <f ca="1">IFERROR(IFERROR(IRR((($H$459:AF459,AF321)),0.1),IRR((($H$459:AF459,AF321)),-0.1)), "N/A")</f>
        <v>N/A</v>
      </c>
      <c r="AG505" s="405" t="str">
        <f ca="1">IFERROR(IFERROR(IRR((($H$459:AG459,AG321)),0.1),IRR((($H$459:AG459,AG321)),-0.1)), "N/A")</f>
        <v>N/A</v>
      </c>
      <c r="AH505" s="128"/>
      <c r="AI505" s="128"/>
      <c r="AJ505" s="128"/>
      <c r="AK505" s="128"/>
      <c r="AL505" s="128"/>
      <c r="AM505" s="128"/>
      <c r="AN505" s="128"/>
      <c r="AO505" s="128"/>
      <c r="AP505" s="128"/>
      <c r="AQ505" s="128"/>
      <c r="AR505" s="128"/>
      <c r="AS505" s="128"/>
      <c r="AT505" s="128"/>
      <c r="AU505" s="128"/>
      <c r="AV505" s="128"/>
      <c r="AW505" s="128"/>
      <c r="AX505" s="128"/>
      <c r="AY505" s="128"/>
      <c r="AZ505" s="128"/>
      <c r="BA505" s="128"/>
      <c r="BB505" s="128"/>
      <c r="BC505" s="128"/>
      <c r="BD505" s="128"/>
      <c r="BE505" s="128"/>
      <c r="BF505" s="128"/>
      <c r="BG505" s="128"/>
      <c r="BH505" s="128"/>
      <c r="BI505" s="128"/>
      <c r="BJ505" s="128"/>
      <c r="BK505" s="128"/>
      <c r="BL505" s="128"/>
      <c r="BM505" s="128"/>
      <c r="BN505" s="128"/>
      <c r="BO505" s="128"/>
      <c r="BP505" s="128"/>
      <c r="BQ505" s="128"/>
      <c r="BR505" s="128"/>
      <c r="BS505" s="128"/>
      <c r="BT505" s="128"/>
      <c r="BU505" s="128"/>
      <c r="BV505" s="128"/>
      <c r="BW505" s="128"/>
      <c r="BX505" s="128"/>
      <c r="BY505" s="128"/>
      <c r="BZ505" s="128"/>
      <c r="CA505" s="128"/>
      <c r="CB505" s="128"/>
      <c r="CC505" s="128"/>
      <c r="CD505" s="128"/>
      <c r="CE505" s="128"/>
      <c r="CF505" s="128"/>
      <c r="CG505" s="128"/>
      <c r="CH505" s="128"/>
      <c r="CI505" s="128"/>
      <c r="CJ505" s="128"/>
      <c r="CK505" s="128"/>
      <c r="CL505" s="128"/>
      <c r="CM505" s="128"/>
      <c r="CN505" s="128"/>
      <c r="CO505" s="128"/>
      <c r="CP505" s="128"/>
      <c r="CQ505" s="128"/>
      <c r="CR505" s="128"/>
      <c r="CS505" s="128"/>
      <c r="CT505" s="128"/>
      <c r="CU505" s="128"/>
    </row>
    <row r="506" spans="2:99" ht="15" outlineLevel="1" thickTop="1" thickBot="1">
      <c r="F506" s="402"/>
      <c r="J506" s="409"/>
      <c r="AH506" s="128"/>
      <c r="AI506" s="128"/>
      <c r="AJ506" s="128"/>
      <c r="AK506" s="128"/>
      <c r="AL506" s="128"/>
      <c r="AM506" s="128"/>
      <c r="AN506" s="128"/>
      <c r="AO506" s="128"/>
      <c r="AP506" s="128"/>
      <c r="AQ506" s="128"/>
      <c r="AR506" s="128"/>
      <c r="AS506" s="128"/>
      <c r="AT506" s="128"/>
      <c r="AU506" s="128"/>
      <c r="AV506" s="128"/>
      <c r="AW506" s="128"/>
      <c r="AX506" s="128"/>
      <c r="AY506" s="128"/>
      <c r="AZ506" s="128"/>
      <c r="BA506" s="128"/>
      <c r="BB506" s="128"/>
      <c r="BC506" s="128"/>
      <c r="BD506" s="128"/>
      <c r="BE506" s="128"/>
      <c r="BF506" s="128"/>
      <c r="BG506" s="128"/>
      <c r="BH506" s="128"/>
      <c r="BI506" s="128"/>
      <c r="BJ506" s="128"/>
      <c r="BK506" s="128"/>
      <c r="BL506" s="128"/>
      <c r="BM506" s="128"/>
      <c r="BN506" s="128"/>
      <c r="BO506" s="128"/>
      <c r="BP506" s="128"/>
      <c r="BQ506" s="128"/>
      <c r="BR506" s="128"/>
      <c r="BS506" s="128"/>
      <c r="BT506" s="128"/>
      <c r="BU506" s="128"/>
      <c r="BV506" s="128"/>
      <c r="BW506" s="128"/>
      <c r="BX506" s="128"/>
      <c r="BY506" s="128"/>
      <c r="BZ506" s="128"/>
      <c r="CA506" s="128"/>
      <c r="CB506" s="128"/>
      <c r="CC506" s="128"/>
      <c r="CD506" s="128"/>
      <c r="CE506" s="128"/>
      <c r="CF506" s="128"/>
      <c r="CG506" s="128"/>
      <c r="CH506" s="128"/>
      <c r="CI506" s="128"/>
      <c r="CJ506" s="128"/>
      <c r="CK506" s="128"/>
      <c r="CL506" s="128"/>
      <c r="CM506" s="128"/>
      <c r="CN506" s="128"/>
      <c r="CO506" s="128"/>
      <c r="CP506" s="128"/>
      <c r="CQ506" s="128"/>
      <c r="CR506" s="128"/>
      <c r="CS506" s="128"/>
      <c r="CT506" s="128"/>
      <c r="CU506" s="128"/>
    </row>
    <row r="507" spans="2:99" ht="14.5" outlineLevel="1" thickBot="1">
      <c r="B507" s="186"/>
      <c r="C507" s="186" t="s">
        <v>531</v>
      </c>
      <c r="D507" s="166">
        <f>D18</f>
        <v>25</v>
      </c>
      <c r="E507" s="148" t="s">
        <v>258</v>
      </c>
      <c r="F507" s="128"/>
      <c r="J507" s="409"/>
      <c r="AH507" s="128"/>
      <c r="AI507" s="128"/>
      <c r="AJ507" s="128"/>
      <c r="AK507" s="128"/>
      <c r="AL507" s="128"/>
      <c r="AM507" s="128"/>
      <c r="AN507" s="128"/>
      <c r="AO507" s="128"/>
      <c r="AP507" s="128"/>
      <c r="AQ507" s="128"/>
      <c r="AR507" s="128"/>
      <c r="AS507" s="128"/>
      <c r="AT507" s="128"/>
      <c r="AU507" s="128"/>
      <c r="AV507" s="128"/>
      <c r="AW507" s="128"/>
      <c r="AX507" s="128"/>
      <c r="AY507" s="128"/>
      <c r="AZ507" s="128"/>
      <c r="BA507" s="128"/>
      <c r="BB507" s="128"/>
      <c r="BC507" s="128"/>
      <c r="BD507" s="128"/>
      <c r="BE507" s="128"/>
      <c r="BF507" s="128"/>
      <c r="BG507" s="128"/>
      <c r="BH507" s="128"/>
      <c r="BI507" s="128"/>
      <c r="BJ507" s="128"/>
      <c r="BK507" s="128"/>
      <c r="BL507" s="128"/>
      <c r="BM507" s="128"/>
      <c r="BN507" s="128"/>
      <c r="BO507" s="128"/>
      <c r="BP507" s="128"/>
      <c r="BQ507" s="128"/>
      <c r="BR507" s="128"/>
      <c r="BS507" s="128"/>
      <c r="BT507" s="128"/>
      <c r="BU507" s="128"/>
      <c r="BV507" s="128"/>
      <c r="BW507" s="128"/>
      <c r="BX507" s="128"/>
      <c r="BY507" s="128"/>
      <c r="BZ507" s="128"/>
      <c r="CA507" s="128"/>
      <c r="CB507" s="128"/>
      <c r="CC507" s="128"/>
      <c r="CD507" s="128"/>
      <c r="CE507" s="128"/>
      <c r="CF507" s="128"/>
      <c r="CG507" s="128"/>
      <c r="CH507" s="128"/>
      <c r="CI507" s="128"/>
      <c r="CJ507" s="128"/>
      <c r="CK507" s="128"/>
      <c r="CL507" s="128"/>
      <c r="CM507" s="128"/>
      <c r="CN507" s="128"/>
      <c r="CO507" s="128"/>
      <c r="CP507" s="128"/>
      <c r="CQ507" s="128"/>
      <c r="CR507" s="128"/>
      <c r="CS507" s="128"/>
      <c r="CT507" s="128"/>
      <c r="CU507" s="128"/>
    </row>
    <row r="508" spans="2:99" ht="14.5" outlineLevel="1" thickBot="1">
      <c r="B508" s="186"/>
      <c r="C508" s="186" t="s">
        <v>514</v>
      </c>
      <c r="D508" s="411">
        <f>I485</f>
        <v>9.9047693915425616E-2</v>
      </c>
      <c r="E508" s="148" t="s">
        <v>662</v>
      </c>
      <c r="F508" s="128"/>
      <c r="G508" s="128"/>
      <c r="J508" s="409"/>
      <c r="AH508" s="128"/>
      <c r="AI508" s="128"/>
      <c r="AJ508" s="128"/>
      <c r="AK508" s="128"/>
      <c r="AL508" s="128"/>
      <c r="AM508" s="128"/>
      <c r="AN508" s="128"/>
      <c r="AO508" s="128"/>
      <c r="AP508" s="128"/>
      <c r="AQ508" s="128"/>
      <c r="AR508" s="128"/>
      <c r="AS508" s="128"/>
      <c r="AT508" s="128"/>
      <c r="AU508" s="128"/>
      <c r="AV508" s="128"/>
      <c r="AW508" s="128"/>
      <c r="AX508" s="128"/>
      <c r="AY508" s="128"/>
      <c r="AZ508" s="128"/>
      <c r="BA508" s="128"/>
      <c r="BB508" s="128"/>
      <c r="BC508" s="128"/>
      <c r="BD508" s="128"/>
      <c r="BE508" s="128"/>
      <c r="BF508" s="128"/>
      <c r="BG508" s="128"/>
      <c r="BH508" s="128"/>
      <c r="BI508" s="128"/>
      <c r="BJ508" s="128"/>
      <c r="BK508" s="128"/>
      <c r="BL508" s="128"/>
      <c r="BM508" s="128"/>
      <c r="BN508" s="128"/>
      <c r="BO508" s="128"/>
      <c r="BP508" s="128"/>
      <c r="BQ508" s="128"/>
      <c r="BR508" s="128"/>
      <c r="BS508" s="128"/>
      <c r="BT508" s="128"/>
      <c r="BU508" s="128"/>
      <c r="BV508" s="128"/>
      <c r="BW508" s="128"/>
      <c r="BX508" s="128"/>
      <c r="BY508" s="128"/>
      <c r="BZ508" s="128"/>
      <c r="CA508" s="128"/>
      <c r="CB508" s="128"/>
      <c r="CC508" s="128"/>
      <c r="CD508" s="128"/>
      <c r="CE508" s="128"/>
      <c r="CF508" s="128"/>
      <c r="CG508" s="128"/>
      <c r="CH508" s="128"/>
      <c r="CI508" s="128"/>
      <c r="CJ508" s="128"/>
      <c r="CK508" s="128"/>
      <c r="CL508" s="128"/>
      <c r="CM508" s="128"/>
      <c r="CN508" s="128"/>
      <c r="CO508" s="128"/>
      <c r="CP508" s="128"/>
      <c r="CQ508" s="128"/>
      <c r="CR508" s="128"/>
      <c r="CS508" s="128"/>
      <c r="CT508" s="128"/>
      <c r="CU508" s="128"/>
    </row>
    <row r="509" spans="2:99" s="160" customFormat="1" ht="13" outlineLevel="1" thickBot="1">
      <c r="B509" s="186"/>
      <c r="C509" s="186" t="s">
        <v>515</v>
      </c>
      <c r="D509" s="411">
        <f>I486</f>
        <v>9.9047693915425616E-2</v>
      </c>
      <c r="E509" s="148" t="s">
        <v>662</v>
      </c>
      <c r="F509" s="179"/>
      <c r="G509" s="179"/>
      <c r="J509" s="407"/>
      <c r="K509" s="407"/>
      <c r="L509" s="407"/>
      <c r="M509" s="407"/>
      <c r="N509" s="407"/>
      <c r="O509" s="407"/>
      <c r="P509" s="407"/>
      <c r="Q509" s="407"/>
      <c r="R509" s="407"/>
      <c r="S509" s="407"/>
      <c r="T509" s="407"/>
      <c r="U509" s="407"/>
      <c r="V509" s="407"/>
      <c r="W509" s="407"/>
      <c r="X509" s="407"/>
      <c r="Y509" s="407"/>
      <c r="Z509" s="407"/>
      <c r="AA509" s="407"/>
      <c r="AB509" s="407"/>
      <c r="AC509" s="407"/>
      <c r="AD509" s="407"/>
      <c r="AE509" s="407"/>
      <c r="AF509" s="407"/>
      <c r="AG509" s="407"/>
      <c r="AH509" s="179"/>
      <c r="AI509" s="179"/>
      <c r="AJ509" s="179"/>
      <c r="AK509" s="179"/>
      <c r="AL509" s="179"/>
      <c r="AM509" s="179"/>
      <c r="AN509" s="179"/>
      <c r="AO509" s="179"/>
      <c r="AP509" s="179"/>
      <c r="AQ509" s="179"/>
      <c r="AR509" s="179"/>
      <c r="AS509" s="179"/>
      <c r="AT509" s="179"/>
      <c r="AU509" s="179"/>
      <c r="AV509" s="179"/>
      <c r="AW509" s="179"/>
      <c r="AX509" s="179"/>
      <c r="AY509" s="179"/>
      <c r="AZ509" s="179"/>
      <c r="BA509" s="179"/>
      <c r="BB509" s="179"/>
      <c r="BC509" s="179"/>
      <c r="BD509" s="179"/>
      <c r="BE509" s="179"/>
      <c r="BF509" s="179"/>
      <c r="BG509" s="179"/>
      <c r="BH509" s="179"/>
      <c r="BI509" s="179"/>
      <c r="BJ509" s="179"/>
      <c r="BK509" s="179"/>
      <c r="BL509" s="179"/>
      <c r="BM509" s="179"/>
      <c r="BN509" s="179"/>
      <c r="BO509" s="179"/>
      <c r="BP509" s="179"/>
      <c r="BQ509" s="179"/>
      <c r="BR509" s="179"/>
      <c r="BS509" s="179"/>
      <c r="BT509" s="179"/>
      <c r="BU509" s="179"/>
      <c r="BV509" s="179"/>
      <c r="BW509" s="179"/>
      <c r="BX509" s="179"/>
      <c r="BY509" s="179"/>
      <c r="BZ509" s="179"/>
      <c r="CA509" s="179"/>
      <c r="CB509" s="179"/>
      <c r="CC509" s="179"/>
      <c r="CD509" s="179"/>
      <c r="CE509" s="179"/>
      <c r="CF509" s="179"/>
      <c r="CG509" s="179"/>
      <c r="CH509" s="179"/>
      <c r="CI509" s="179"/>
      <c r="CJ509" s="179"/>
      <c r="CK509" s="179"/>
      <c r="CL509" s="179"/>
      <c r="CM509" s="179"/>
      <c r="CN509" s="179"/>
      <c r="CO509" s="179"/>
      <c r="CP509" s="179"/>
      <c r="CQ509" s="179"/>
      <c r="CR509" s="179"/>
      <c r="CS509" s="179"/>
      <c r="CT509" s="179"/>
      <c r="CU509" s="179"/>
    </row>
    <row r="510" spans="2:99" s="160" customFormat="1" ht="13" outlineLevel="1" thickBot="1">
      <c r="B510" s="186"/>
      <c r="C510" s="186" t="s">
        <v>532</v>
      </c>
      <c r="D510" s="411" t="str">
        <f ca="1">IF(SUMIF($I$1:$AG$1,$D$18,$I$492:$AG$492)&lt;1,"Less than 1",IFERROR(SUMIF($I$1:$AG$1,$D$18,$I$492:$AG$492),"N/A"))</f>
        <v>Less than 1</v>
      </c>
      <c r="E510" s="148" t="s">
        <v>533</v>
      </c>
      <c r="F510" s="179"/>
      <c r="J510" s="407"/>
      <c r="K510" s="407"/>
      <c r="L510" s="407"/>
      <c r="M510" s="407"/>
      <c r="N510" s="407"/>
      <c r="O510" s="407"/>
      <c r="P510" s="407"/>
      <c r="Q510" s="407"/>
      <c r="R510" s="407"/>
      <c r="S510" s="407"/>
      <c r="T510" s="407"/>
      <c r="U510" s="407"/>
      <c r="V510" s="407"/>
      <c r="W510" s="407"/>
      <c r="X510" s="407"/>
      <c r="Y510" s="407"/>
      <c r="Z510" s="407"/>
      <c r="AA510" s="407"/>
      <c r="AB510" s="407"/>
      <c r="AC510" s="407"/>
      <c r="AD510" s="407"/>
      <c r="AE510" s="407"/>
      <c r="AF510" s="407"/>
      <c r="AG510" s="407"/>
      <c r="AH510" s="179"/>
      <c r="AI510" s="179"/>
      <c r="AJ510" s="179"/>
      <c r="AK510" s="179"/>
      <c r="AL510" s="179"/>
      <c r="AM510" s="179"/>
      <c r="AN510" s="179"/>
      <c r="AO510" s="179"/>
      <c r="AP510" s="179"/>
      <c r="AQ510" s="179"/>
      <c r="AR510" s="179"/>
      <c r="AS510" s="179"/>
      <c r="AT510" s="179"/>
      <c r="AU510" s="179"/>
      <c r="AV510" s="179"/>
      <c r="AW510" s="179"/>
      <c r="AX510" s="179"/>
      <c r="AY510" s="179"/>
      <c r="AZ510" s="179"/>
      <c r="BA510" s="179"/>
      <c r="BB510" s="179"/>
      <c r="BC510" s="179"/>
      <c r="BD510" s="179"/>
      <c r="BE510" s="179"/>
      <c r="BF510" s="179"/>
      <c r="BG510" s="179"/>
      <c r="BH510" s="179"/>
      <c r="BI510" s="179"/>
      <c r="BJ510" s="179"/>
      <c r="BK510" s="179"/>
      <c r="BL510" s="179"/>
      <c r="BM510" s="179"/>
      <c r="BN510" s="179"/>
      <c r="BO510" s="179"/>
      <c r="BP510" s="179"/>
      <c r="BQ510" s="179"/>
      <c r="BR510" s="179"/>
      <c r="BS510" s="179"/>
      <c r="BT510" s="179"/>
      <c r="BU510" s="179"/>
      <c r="BV510" s="179"/>
      <c r="BW510" s="179"/>
      <c r="BX510" s="179"/>
      <c r="BY510" s="179"/>
      <c r="BZ510" s="179"/>
      <c r="CA510" s="179"/>
      <c r="CB510" s="179"/>
      <c r="CC510" s="179"/>
      <c r="CD510" s="179"/>
      <c r="CE510" s="179"/>
      <c r="CF510" s="179"/>
      <c r="CG510" s="179"/>
      <c r="CH510" s="179"/>
      <c r="CI510" s="179"/>
      <c r="CJ510" s="179"/>
      <c r="CK510" s="179"/>
      <c r="CL510" s="179"/>
      <c r="CM510" s="179"/>
      <c r="CN510" s="179"/>
      <c r="CO510" s="179"/>
      <c r="CP510" s="179"/>
      <c r="CQ510" s="179"/>
      <c r="CR510" s="179"/>
      <c r="CS510" s="179"/>
      <c r="CT510" s="179"/>
      <c r="CU510" s="179"/>
    </row>
    <row r="511" spans="2:99" s="160" customFormat="1" ht="13" outlineLevel="1" thickBot="1">
      <c r="B511" s="186"/>
      <c r="C511" s="186" t="s">
        <v>526</v>
      </c>
      <c r="D511" s="166">
        <f ca="1">IFERROR(SUMIF($I$1:$AG$1,$D$18,$I$500:$AG$500),"N/A")</f>
        <v>-68917.198966440294</v>
      </c>
      <c r="E511" s="148" t="s">
        <v>270</v>
      </c>
      <c r="F511" s="179"/>
      <c r="J511" s="407"/>
      <c r="K511" s="407"/>
      <c r="L511" s="407"/>
      <c r="M511" s="407"/>
      <c r="N511" s="407"/>
      <c r="O511" s="407"/>
      <c r="P511" s="407"/>
      <c r="Q511" s="407"/>
      <c r="R511" s="407"/>
      <c r="S511" s="407"/>
      <c r="T511" s="407"/>
      <c r="U511" s="407"/>
      <c r="V511" s="407"/>
      <c r="W511" s="407"/>
      <c r="X511" s="407"/>
      <c r="Y511" s="407"/>
      <c r="Z511" s="407"/>
      <c r="AA511" s="407"/>
      <c r="AB511" s="407"/>
      <c r="AC511" s="407"/>
      <c r="AD511" s="407"/>
      <c r="AE511" s="407"/>
      <c r="AF511" s="407"/>
      <c r="AG511" s="407"/>
      <c r="AH511" s="179"/>
      <c r="AI511" s="179"/>
      <c r="AJ511" s="179"/>
      <c r="AK511" s="179"/>
      <c r="AL511" s="179"/>
      <c r="AM511" s="179"/>
      <c r="AN511" s="179"/>
      <c r="AO511" s="179"/>
      <c r="AP511" s="179"/>
      <c r="AQ511" s="179"/>
      <c r="AR511" s="179"/>
      <c r="AS511" s="179"/>
      <c r="AT511" s="179"/>
      <c r="AU511" s="179"/>
      <c r="AV511" s="179"/>
      <c r="AW511" s="179"/>
      <c r="AX511" s="179"/>
      <c r="AY511" s="179"/>
      <c r="AZ511" s="179"/>
      <c r="BA511" s="179"/>
      <c r="BB511" s="179"/>
      <c r="BC511" s="179"/>
      <c r="BD511" s="179"/>
      <c r="BE511" s="179"/>
      <c r="BF511" s="179"/>
      <c r="BG511" s="179"/>
      <c r="BH511" s="179"/>
      <c r="BI511" s="179"/>
      <c r="BJ511" s="179"/>
      <c r="BK511" s="179"/>
      <c r="BL511" s="179"/>
      <c r="BM511" s="179"/>
      <c r="BN511" s="179"/>
      <c r="BO511" s="179"/>
      <c r="BP511" s="179"/>
      <c r="BQ511" s="179"/>
      <c r="BR511" s="179"/>
      <c r="BS511" s="179"/>
      <c r="BT511" s="179"/>
      <c r="BU511" s="179"/>
      <c r="BV511" s="179"/>
      <c r="BW511" s="179"/>
      <c r="BX511" s="179"/>
      <c r="BY511" s="179"/>
      <c r="BZ511" s="179"/>
      <c r="CA511" s="179"/>
      <c r="CB511" s="179"/>
      <c r="CC511" s="179"/>
      <c r="CD511" s="179"/>
      <c r="CE511" s="179"/>
      <c r="CF511" s="179"/>
      <c r="CG511" s="179"/>
      <c r="CH511" s="179"/>
      <c r="CI511" s="179"/>
      <c r="CJ511" s="179"/>
      <c r="CK511" s="179"/>
      <c r="CL511" s="179"/>
      <c r="CM511" s="179"/>
      <c r="CN511" s="179"/>
      <c r="CO511" s="179"/>
      <c r="CP511" s="179"/>
      <c r="CQ511" s="179"/>
      <c r="CR511" s="179"/>
      <c r="CS511" s="179"/>
      <c r="CT511" s="179"/>
      <c r="CU511" s="179"/>
    </row>
    <row r="512" spans="2:99" s="160" customFormat="1" ht="13" outlineLevel="1" thickBot="1">
      <c r="B512" s="186"/>
      <c r="C512" s="186" t="s">
        <v>527</v>
      </c>
      <c r="D512" s="166">
        <f ca="1">IFERROR(SUMIF($I$1:$AG$1,$D$18,$I$501:$AG$501),"N/A")</f>
        <v>-57338.138700016672</v>
      </c>
      <c r="E512" s="148" t="s">
        <v>270</v>
      </c>
      <c r="F512" s="179"/>
      <c r="J512" s="407"/>
      <c r="K512" s="407"/>
      <c r="L512" s="407"/>
      <c r="M512" s="407"/>
      <c r="N512" s="407"/>
      <c r="O512" s="407"/>
      <c r="P512" s="407"/>
      <c r="Q512" s="407"/>
      <c r="R512" s="407"/>
      <c r="S512" s="407"/>
      <c r="T512" s="407"/>
      <c r="U512" s="407"/>
      <c r="V512" s="407"/>
      <c r="W512" s="407"/>
      <c r="X512" s="407"/>
      <c r="Y512" s="407"/>
      <c r="Z512" s="407"/>
      <c r="AA512" s="407"/>
      <c r="AB512" s="407"/>
      <c r="AC512" s="407"/>
      <c r="AD512" s="407"/>
      <c r="AE512" s="407"/>
      <c r="AF512" s="407"/>
      <c r="AG512" s="407"/>
      <c r="AH512" s="179"/>
      <c r="AI512" s="179"/>
      <c r="AJ512" s="179"/>
      <c r="AK512" s="179"/>
      <c r="AL512" s="179"/>
      <c r="AM512" s="179"/>
      <c r="AN512" s="179"/>
      <c r="AO512" s="179"/>
      <c r="AP512" s="179"/>
      <c r="AQ512" s="179"/>
      <c r="AR512" s="179"/>
      <c r="AS512" s="179"/>
      <c r="AT512" s="179"/>
      <c r="AU512" s="179"/>
      <c r="AV512" s="179"/>
      <c r="AW512" s="179"/>
      <c r="AX512" s="179"/>
      <c r="AY512" s="179"/>
      <c r="AZ512" s="179"/>
      <c r="BA512" s="179"/>
      <c r="BB512" s="179"/>
      <c r="BC512" s="179"/>
      <c r="BD512" s="179"/>
      <c r="BE512" s="179"/>
      <c r="BF512" s="179"/>
      <c r="BG512" s="179"/>
      <c r="BH512" s="179"/>
      <c r="BI512" s="179"/>
      <c r="BJ512" s="179"/>
      <c r="BK512" s="179"/>
      <c r="BL512" s="179"/>
      <c r="BM512" s="179"/>
      <c r="BN512" s="179"/>
      <c r="BO512" s="179"/>
      <c r="BP512" s="179"/>
      <c r="BQ512" s="179"/>
      <c r="BR512" s="179"/>
      <c r="BS512" s="179"/>
      <c r="BT512" s="179"/>
      <c r="BU512" s="179"/>
      <c r="BV512" s="179"/>
      <c r="BW512" s="179"/>
      <c r="BX512" s="179"/>
      <c r="BY512" s="179"/>
      <c r="BZ512" s="179"/>
      <c r="CA512" s="179"/>
      <c r="CB512" s="179"/>
      <c r="CC512" s="179"/>
      <c r="CD512" s="179"/>
      <c r="CE512" s="179"/>
      <c r="CF512" s="179"/>
      <c r="CG512" s="179"/>
      <c r="CH512" s="179"/>
      <c r="CI512" s="179"/>
      <c r="CJ512" s="179"/>
      <c r="CK512" s="179"/>
      <c r="CL512" s="179"/>
      <c r="CM512" s="179"/>
      <c r="CN512" s="179"/>
      <c r="CO512" s="179"/>
      <c r="CP512" s="179"/>
      <c r="CQ512" s="179"/>
      <c r="CR512" s="179"/>
      <c r="CS512" s="179"/>
      <c r="CT512" s="179"/>
      <c r="CU512" s="179"/>
    </row>
    <row r="513" spans="2:99" s="160" customFormat="1" ht="13" outlineLevel="1" thickBot="1">
      <c r="B513" s="186"/>
      <c r="C513" s="186" t="s">
        <v>529</v>
      </c>
      <c r="D513" s="421">
        <f ca="1">IFERROR(SUMIF($I$1:$AG$1,$D$18,$I$504:$AG$504),"N/A")</f>
        <v>0</v>
      </c>
      <c r="E513" s="148" t="s">
        <v>261</v>
      </c>
      <c r="F513" s="179"/>
      <c r="J513" s="407"/>
      <c r="K513" s="407"/>
      <c r="L513" s="407"/>
      <c r="M513" s="407"/>
      <c r="N513" s="407"/>
      <c r="O513" s="407"/>
      <c r="P513" s="407"/>
      <c r="Q513" s="407"/>
      <c r="R513" s="407"/>
      <c r="S513" s="407"/>
      <c r="T513" s="407"/>
      <c r="U513" s="407"/>
      <c r="V513" s="407"/>
      <c r="W513" s="407"/>
      <c r="X513" s="407"/>
      <c r="Y513" s="407"/>
      <c r="Z513" s="407"/>
      <c r="AA513" s="407"/>
      <c r="AB513" s="407"/>
      <c r="AC513" s="407"/>
      <c r="AD513" s="407"/>
      <c r="AE513" s="407"/>
      <c r="AF513" s="407"/>
      <c r="AG513" s="407"/>
      <c r="AH513" s="179"/>
      <c r="AI513" s="179"/>
      <c r="AJ513" s="179"/>
      <c r="AK513" s="179"/>
      <c r="AL513" s="179"/>
      <c r="AM513" s="179"/>
      <c r="AN513" s="179"/>
      <c r="AO513" s="179"/>
      <c r="AP513" s="179"/>
      <c r="AQ513" s="179"/>
      <c r="AR513" s="179"/>
      <c r="AS513" s="179"/>
      <c r="AT513" s="179"/>
      <c r="AU513" s="179"/>
      <c r="AV513" s="179"/>
      <c r="AW513" s="179"/>
      <c r="AX513" s="179"/>
      <c r="AY513" s="179"/>
      <c r="AZ513" s="179"/>
      <c r="BA513" s="179"/>
      <c r="BB513" s="179"/>
      <c r="BC513" s="179"/>
      <c r="BD513" s="179"/>
      <c r="BE513" s="179"/>
      <c r="BF513" s="179"/>
      <c r="BG513" s="179"/>
      <c r="BH513" s="179"/>
      <c r="BI513" s="179"/>
      <c r="BJ513" s="179"/>
      <c r="BK513" s="179"/>
      <c r="BL513" s="179"/>
      <c r="BM513" s="179"/>
      <c r="BN513" s="179"/>
      <c r="BO513" s="179"/>
      <c r="BP513" s="179"/>
      <c r="BQ513" s="179"/>
      <c r="BR513" s="179"/>
      <c r="BS513" s="179"/>
      <c r="BT513" s="179"/>
      <c r="BU513" s="179"/>
      <c r="BV513" s="179"/>
      <c r="BW513" s="179"/>
      <c r="BX513" s="179"/>
      <c r="BY513" s="179"/>
      <c r="BZ513" s="179"/>
      <c r="CA513" s="179"/>
      <c r="CB513" s="179"/>
      <c r="CC513" s="179"/>
      <c r="CD513" s="179"/>
      <c r="CE513" s="179"/>
      <c r="CF513" s="179"/>
      <c r="CG513" s="179"/>
      <c r="CH513" s="179"/>
      <c r="CI513" s="179"/>
      <c r="CJ513" s="179"/>
      <c r="CK513" s="179"/>
      <c r="CL513" s="179"/>
      <c r="CM513" s="179"/>
      <c r="CN513" s="179"/>
      <c r="CO513" s="179"/>
      <c r="CP513" s="179"/>
      <c r="CQ513" s="179"/>
      <c r="CR513" s="179"/>
      <c r="CS513" s="179"/>
      <c r="CT513" s="179"/>
      <c r="CU513" s="179"/>
    </row>
    <row r="514" spans="2:99" s="160" customFormat="1" ht="13" outlineLevel="1" thickBot="1">
      <c r="B514" s="186"/>
      <c r="C514" s="186" t="s">
        <v>534</v>
      </c>
      <c r="D514" s="421">
        <f ca="1">IFERROR(SUMIF($I$1:$AG$1,$D$18,$I$505:$AG$505),"N/A")</f>
        <v>0</v>
      </c>
      <c r="E514" s="148" t="s">
        <v>261</v>
      </c>
      <c r="F514" s="179"/>
      <c r="J514" s="407"/>
      <c r="K514" s="407"/>
      <c r="L514" s="407"/>
      <c r="M514" s="407"/>
      <c r="N514" s="407"/>
      <c r="O514" s="407"/>
      <c r="P514" s="407"/>
      <c r="Q514" s="407"/>
      <c r="R514" s="407"/>
      <c r="S514" s="407"/>
      <c r="T514" s="407"/>
      <c r="U514" s="407"/>
      <c r="V514" s="407"/>
      <c r="W514" s="407"/>
      <c r="X514" s="407"/>
      <c r="Y514" s="407"/>
      <c r="Z514" s="407"/>
      <c r="AA514" s="407"/>
      <c r="AB514" s="407"/>
      <c r="AC514" s="407"/>
      <c r="AD514" s="407"/>
      <c r="AE514" s="407"/>
      <c r="AF514" s="407"/>
      <c r="AG514" s="407"/>
      <c r="AH514" s="179"/>
      <c r="AI514" s="179"/>
      <c r="AJ514" s="179"/>
      <c r="AK514" s="179"/>
      <c r="AL514" s="179"/>
      <c r="AM514" s="179"/>
      <c r="AN514" s="179"/>
      <c r="AO514" s="179"/>
      <c r="AP514" s="179"/>
      <c r="AQ514" s="179"/>
      <c r="AR514" s="179"/>
      <c r="AS514" s="179"/>
      <c r="AT514" s="179"/>
      <c r="AU514" s="179"/>
      <c r="AV514" s="179"/>
      <c r="AW514" s="179"/>
      <c r="AX514" s="179"/>
      <c r="AY514" s="179"/>
      <c r="AZ514" s="179"/>
      <c r="BA514" s="179"/>
      <c r="BB514" s="179"/>
      <c r="BC514" s="179"/>
      <c r="BD514" s="179"/>
      <c r="BE514" s="179"/>
      <c r="BF514" s="179"/>
      <c r="BG514" s="179"/>
      <c r="BH514" s="179"/>
      <c r="BI514" s="179"/>
      <c r="BJ514" s="179"/>
      <c r="BK514" s="179"/>
      <c r="BL514" s="179"/>
      <c r="BM514" s="179"/>
      <c r="BN514" s="179"/>
      <c r="BO514" s="179"/>
      <c r="BP514" s="179"/>
      <c r="BQ514" s="179"/>
      <c r="BR514" s="179"/>
      <c r="BS514" s="179"/>
      <c r="BT514" s="179"/>
      <c r="BU514" s="179"/>
      <c r="BV514" s="179"/>
      <c r="BW514" s="179"/>
      <c r="BX514" s="179"/>
      <c r="BY514" s="179"/>
      <c r="BZ514" s="179"/>
      <c r="CA514" s="179"/>
      <c r="CB514" s="179"/>
      <c r="CC514" s="179"/>
      <c r="CD514" s="179"/>
      <c r="CE514" s="179"/>
      <c r="CF514" s="179"/>
      <c r="CG514" s="179"/>
      <c r="CH514" s="179"/>
      <c r="CI514" s="179"/>
      <c r="CJ514" s="179"/>
      <c r="CK514" s="179"/>
      <c r="CL514" s="179"/>
      <c r="CM514" s="179"/>
      <c r="CN514" s="179"/>
      <c r="CO514" s="179"/>
      <c r="CP514" s="179"/>
      <c r="CQ514" s="179"/>
      <c r="CR514" s="179"/>
      <c r="CS514" s="179"/>
      <c r="CT514" s="179"/>
      <c r="CU514" s="179"/>
    </row>
    <row r="515" spans="2:99" s="160" customFormat="1" ht="13" outlineLevel="1" thickBot="1">
      <c r="B515" s="186"/>
      <c r="C515" s="186" t="s">
        <v>535</v>
      </c>
      <c r="D515" s="166">
        <f ca="1">MIN('Backend Finance'!H460:W460)</f>
        <v>0</v>
      </c>
      <c r="E515" s="148" t="s">
        <v>258</v>
      </c>
      <c r="F515" s="179"/>
      <c r="J515" s="407"/>
      <c r="K515" s="407"/>
      <c r="L515" s="407"/>
      <c r="M515" s="407"/>
      <c r="N515" s="407"/>
      <c r="O515" s="407"/>
      <c r="P515" s="407"/>
      <c r="Q515" s="407"/>
      <c r="R515" s="407"/>
      <c r="S515" s="407"/>
      <c r="T515" s="407"/>
      <c r="U515" s="407"/>
      <c r="V515" s="407"/>
      <c r="W515" s="407"/>
      <c r="X515" s="407"/>
      <c r="Y515" s="407"/>
      <c r="Z515" s="407"/>
      <c r="AA515" s="407"/>
      <c r="AB515" s="407"/>
      <c r="AC515" s="407"/>
      <c r="AD515" s="407"/>
      <c r="AE515" s="407"/>
      <c r="AF515" s="407"/>
      <c r="AG515" s="407"/>
      <c r="AH515" s="179"/>
      <c r="AI515" s="179"/>
      <c r="AJ515" s="179"/>
      <c r="AK515" s="179"/>
      <c r="AL515" s="179"/>
      <c r="AM515" s="179"/>
      <c r="AN515" s="179"/>
      <c r="AO515" s="179"/>
      <c r="AP515" s="179"/>
      <c r="AQ515" s="179"/>
      <c r="AR515" s="179"/>
      <c r="AS515" s="179"/>
      <c r="AT515" s="179"/>
      <c r="AU515" s="179"/>
      <c r="AV515" s="179"/>
      <c r="AW515" s="179"/>
      <c r="AX515" s="179"/>
      <c r="AY515" s="179"/>
      <c r="AZ515" s="179"/>
      <c r="BA515" s="179"/>
      <c r="BB515" s="179"/>
      <c r="BC515" s="179"/>
      <c r="BD515" s="179"/>
      <c r="BE515" s="179"/>
      <c r="BF515" s="179"/>
      <c r="BG515" s="179"/>
      <c r="BH515" s="179"/>
      <c r="BI515" s="179"/>
      <c r="BJ515" s="179"/>
      <c r="BK515" s="179"/>
      <c r="BL515" s="179"/>
      <c r="BM515" s="179"/>
      <c r="BN515" s="179"/>
      <c r="BO515" s="179"/>
      <c r="BP515" s="179"/>
      <c r="BQ515" s="179"/>
      <c r="BR515" s="179"/>
      <c r="BS515" s="179"/>
      <c r="BT515" s="179"/>
      <c r="BU515" s="179"/>
      <c r="BV515" s="179"/>
      <c r="BW515" s="179"/>
      <c r="BX515" s="179"/>
      <c r="BY515" s="179"/>
      <c r="BZ515" s="179"/>
      <c r="CA515" s="179"/>
      <c r="CB515" s="179"/>
      <c r="CC515" s="179"/>
      <c r="CD515" s="179"/>
      <c r="CE515" s="179"/>
      <c r="CF515" s="179"/>
      <c r="CG515" s="179"/>
      <c r="CH515" s="179"/>
      <c r="CI515" s="179"/>
      <c r="CJ515" s="179"/>
      <c r="CK515" s="179"/>
      <c r="CL515" s="179"/>
      <c r="CM515" s="179"/>
      <c r="CN515" s="179"/>
      <c r="CO515" s="179"/>
      <c r="CP515" s="179"/>
      <c r="CQ515" s="179"/>
      <c r="CR515" s="179"/>
      <c r="CS515" s="179"/>
      <c r="CT515" s="179"/>
      <c r="CU515" s="179"/>
    </row>
    <row r="516" spans="2:99" ht="14.5" outlineLevel="1" thickBot="1">
      <c r="B516" s="186"/>
      <c r="C516" s="186" t="s">
        <v>673</v>
      </c>
      <c r="D516" s="421">
        <f ca="1">G422/F265</f>
        <v>-0.29116634127854363</v>
      </c>
      <c r="E516" s="148" t="s">
        <v>261</v>
      </c>
      <c r="H516" s="160"/>
      <c r="I516" s="160"/>
      <c r="J516" s="160"/>
      <c r="K516" s="160"/>
      <c r="L516" s="160"/>
      <c r="M516" s="160"/>
      <c r="N516" s="160"/>
      <c r="O516" s="160"/>
      <c r="P516" s="160"/>
      <c r="Q516" s="160"/>
      <c r="R516" s="160"/>
      <c r="S516" s="160"/>
      <c r="T516" s="160"/>
      <c r="U516" s="160"/>
      <c r="V516" s="160"/>
      <c r="W516" s="160"/>
      <c r="X516" s="160"/>
      <c r="Y516" s="160"/>
      <c r="Z516" s="160"/>
      <c r="AA516" s="160"/>
      <c r="AB516" s="160"/>
      <c r="AC516" s="160"/>
      <c r="AD516" s="160"/>
      <c r="AE516" s="160"/>
      <c r="AF516" s="160"/>
      <c r="AG516" s="160"/>
    </row>
    <row r="517" spans="2:99" ht="14.5" thickBot="1">
      <c r="B517" s="186"/>
      <c r="C517" s="186" t="s">
        <v>674</v>
      </c>
      <c r="D517" s="421">
        <f ca="1">D516/(1+D22)^D18</f>
        <v>-4.2515499134651302E-2</v>
      </c>
      <c r="E517" s="148" t="s">
        <v>261</v>
      </c>
      <c r="H517" s="160"/>
      <c r="I517" s="160"/>
      <c r="J517" s="160"/>
      <c r="K517" s="160"/>
      <c r="L517" s="160"/>
      <c r="M517" s="160"/>
      <c r="N517" s="160"/>
      <c r="O517" s="160"/>
      <c r="P517" s="160"/>
      <c r="Q517" s="160"/>
      <c r="R517" s="160"/>
      <c r="S517" s="160"/>
      <c r="T517" s="160"/>
      <c r="U517" s="160"/>
      <c r="V517" s="160"/>
      <c r="W517" s="160"/>
      <c r="X517" s="160"/>
      <c r="Y517" s="160"/>
      <c r="Z517" s="160"/>
      <c r="AA517" s="160"/>
      <c r="AB517" s="160"/>
      <c r="AC517" s="160"/>
      <c r="AD517" s="160"/>
      <c r="AE517" s="160"/>
      <c r="AF517" s="160"/>
      <c r="AG517" s="160"/>
    </row>
    <row r="518" spans="2:99">
      <c r="H518" s="160"/>
      <c r="I518" s="160"/>
      <c r="J518" s="160"/>
      <c r="K518" s="160"/>
      <c r="L518" s="160"/>
      <c r="M518" s="160"/>
      <c r="N518" s="160"/>
      <c r="O518" s="160"/>
      <c r="P518" s="160"/>
      <c r="Q518" s="160"/>
      <c r="R518" s="160"/>
      <c r="S518" s="160"/>
      <c r="T518" s="160"/>
      <c r="U518" s="160"/>
      <c r="V518" s="160"/>
      <c r="W518" s="160"/>
      <c r="X518" s="160"/>
      <c r="Y518" s="160"/>
      <c r="Z518" s="160"/>
      <c r="AA518" s="160"/>
      <c r="AB518" s="160"/>
      <c r="AC518" s="160"/>
      <c r="AD518" s="160"/>
      <c r="AE518" s="160"/>
      <c r="AF518" s="160"/>
      <c r="AG518" s="160"/>
    </row>
    <row r="519" spans="2:99" ht="18">
      <c r="C519" s="412"/>
      <c r="H519" s="160"/>
      <c r="I519" s="160"/>
      <c r="J519" s="160"/>
      <c r="K519" s="160"/>
      <c r="L519" s="160"/>
      <c r="M519" s="160"/>
      <c r="N519" s="160"/>
      <c r="O519" s="160"/>
      <c r="P519" s="160"/>
      <c r="Q519" s="160"/>
      <c r="R519" s="160"/>
      <c r="S519" s="160"/>
      <c r="T519" s="160"/>
      <c r="U519" s="160"/>
      <c r="V519" s="160"/>
      <c r="W519" s="160"/>
      <c r="X519" s="160"/>
      <c r="Y519" s="160"/>
      <c r="Z519" s="160"/>
      <c r="AA519" s="160"/>
      <c r="AB519" s="160"/>
      <c r="AC519" s="160"/>
      <c r="AD519" s="160"/>
      <c r="AE519" s="160"/>
      <c r="AF519" s="160"/>
      <c r="AG519" s="160"/>
    </row>
    <row r="520" spans="2:99">
      <c r="C520" s="153"/>
      <c r="H520" s="160"/>
      <c r="I520" s="160"/>
      <c r="J520" s="160"/>
      <c r="K520" s="160"/>
      <c r="L520" s="160"/>
      <c r="M520" s="160"/>
      <c r="N520" s="160"/>
      <c r="O520" s="160"/>
      <c r="P520" s="160"/>
      <c r="Q520" s="160"/>
      <c r="R520" s="160"/>
      <c r="S520" s="160"/>
      <c r="T520" s="160"/>
      <c r="U520" s="160"/>
      <c r="V520" s="160"/>
      <c r="W520" s="160"/>
      <c r="X520" s="160"/>
      <c r="Y520" s="160"/>
      <c r="Z520" s="160"/>
      <c r="AA520" s="160"/>
      <c r="AB520" s="160"/>
      <c r="AC520" s="160"/>
      <c r="AD520" s="160"/>
      <c r="AE520" s="160"/>
      <c r="AF520" s="160"/>
      <c r="AG520" s="160"/>
    </row>
    <row r="521" spans="2:99">
      <c r="H521" s="160"/>
      <c r="I521" s="160"/>
      <c r="J521" s="160"/>
      <c r="K521" s="160"/>
      <c r="L521" s="160"/>
      <c r="M521" s="160"/>
      <c r="N521" s="160"/>
      <c r="O521" s="160"/>
      <c r="P521" s="160"/>
      <c r="Q521" s="160"/>
      <c r="R521" s="160"/>
      <c r="S521" s="160"/>
      <c r="T521" s="160"/>
      <c r="U521" s="160"/>
      <c r="V521" s="160"/>
      <c r="W521" s="160"/>
      <c r="X521" s="160"/>
      <c r="Y521" s="160"/>
      <c r="Z521" s="160"/>
      <c r="AA521" s="160"/>
      <c r="AB521" s="160"/>
      <c r="AC521" s="160"/>
      <c r="AD521" s="160"/>
      <c r="AE521" s="160"/>
      <c r="AF521" s="160"/>
      <c r="AG521" s="160"/>
    </row>
    <row r="522" spans="2:99">
      <c r="K522" s="409"/>
    </row>
    <row r="523" spans="2:99">
      <c r="K523" s="409"/>
    </row>
    <row r="524" spans="2:99">
      <c r="K524" s="409"/>
    </row>
    <row r="525" spans="2:99">
      <c r="K525" s="409"/>
    </row>
    <row r="526" spans="2:99">
      <c r="K526" s="409"/>
    </row>
    <row r="527" spans="2:99">
      <c r="K527" s="409"/>
    </row>
    <row r="528" spans="2:99">
      <c r="K528" s="409"/>
    </row>
    <row r="529" spans="3:11">
      <c r="K529" s="409"/>
    </row>
    <row r="530" spans="3:11">
      <c r="K530" s="409"/>
    </row>
    <row r="531" spans="3:11" ht="18">
      <c r="C531" s="412"/>
      <c r="K531" s="409"/>
    </row>
    <row r="532" spans="3:11">
      <c r="C532" s="153"/>
    </row>
    <row r="533" spans="3:11">
      <c r="C533" s="153"/>
    </row>
    <row r="536" spans="3:11">
      <c r="C536" s="153"/>
    </row>
    <row r="537" spans="3:11">
      <c r="C537" s="153"/>
    </row>
    <row r="538" spans="3:11">
      <c r="C538" s="153"/>
    </row>
    <row r="539" spans="3:11">
      <c r="C539" s="153"/>
    </row>
    <row r="545" spans="3:3">
      <c r="C545" s="110" t="s">
        <v>334</v>
      </c>
    </row>
  </sheetData>
  <sheetProtection algorithmName="SHA-512" hashValue="oghws4Sr7LbwDb5iEaKKLIhUfGcQrYjDFJxHcJ62r/C6FXakX+PGMyVTGfJIUu8m9oi6KZx372lWOn/+YBRx6g==" saltValue="L9opUPBwCtvN+kYyyuGHUw==" spinCount="100000" sheet="1" formatCells="0"/>
  <mergeCells count="15">
    <mergeCell ref="F1:G1"/>
    <mergeCell ref="F2:G2"/>
    <mergeCell ref="F338:G338"/>
    <mergeCell ref="F339:G339"/>
    <mergeCell ref="D277:H277"/>
    <mergeCell ref="E336:H336"/>
    <mergeCell ref="H227:I227"/>
    <mergeCell ref="H228:I228"/>
    <mergeCell ref="C12:E12"/>
    <mergeCell ref="H223:I223"/>
    <mergeCell ref="H224:I224"/>
    <mergeCell ref="D5:E5"/>
    <mergeCell ref="D6:E6"/>
    <mergeCell ref="D7:E7"/>
    <mergeCell ref="B3:E3"/>
  </mergeCells>
  <conditionalFormatting sqref="D35">
    <cfRule type="expression" dxfId="0" priority="1">
      <formula>#REF!&gt;0</formula>
    </cfRule>
  </conditionalFormatting>
  <dataValidations count="10">
    <dataValidation type="custom" allowBlank="1" showInputMessage="1" showErrorMessage="1" sqref="D15 D17:D18 D21 D25:D30 D35:D41 D44:D61 D146 E163:E164 E172:E173 E181:E198 D201 D214:D219 H60:AG60 H196:AG196 H198:AG198 J223:AG223 J227:AG227 E73:E107 E109:E143" xr:uid="{8EAAD1DD-2226-4D2D-89BA-8550966F6958}">
      <formula1>ISNUMBER(D15)</formula1>
    </dataValidation>
    <dataValidation type="custom" allowBlank="1" showInputMessage="1" showErrorMessage="1" sqref="D22" xr:uid="{C3DDAFCF-9F17-4EE3-87D9-D458A748AEDB}">
      <formula1>ISNUMBER(B2)</formula1>
    </dataValidation>
    <dataValidation type="custom" allowBlank="1" showInputMessage="1" showErrorMessage="1" sqref="D224:D228" xr:uid="{DDA21A22-040B-42F6-862B-AFA5C2AE8D94}">
      <formula1>" =ISNUMBER(D229"</formula1>
    </dataValidation>
    <dataValidation type="custom" allowBlank="1" showInputMessage="1" showErrorMessage="1" sqref="D241:D252" xr:uid="{88487185-B797-4E77-B96B-814F16639E96}">
      <formula1>" =ISNUMBER(D246"</formula1>
    </dataValidation>
    <dataValidation type="list" allowBlank="1" showInputMessage="1" showErrorMessage="1" sqref="G283:G289 G292:G297 G300:G302 G305:G307" xr:uid="{CB48E711-95F4-445A-BEE0-DFF735A29B8C}">
      <formula1>"Yes, No"</formula1>
    </dataValidation>
    <dataValidation type="custom" allowBlank="1" showInputMessage="1" showErrorMessage="1" sqref="I169:AG169" xr:uid="{90DCB295-2142-4184-B85F-DDDA06D87019}">
      <formula1>" =ISNUMBER(I172)"</formula1>
    </dataValidation>
    <dataValidation type="custom" allowBlank="1" showInputMessage="1" showErrorMessage="1" sqref="H176:AG176" xr:uid="{96F1DA8C-4531-4FCF-B557-32BEEFFBF902}">
      <formula1>" =ISNUMBER(H179)"</formula1>
    </dataValidation>
    <dataValidation type="custom" allowBlank="1" showInputMessage="1" showErrorMessage="1" sqref="I185:AG185" xr:uid="{16C923C4-3BAD-41D0-98B4-52421A273CC5}">
      <formula1>" =ISNUMBER(I188)"</formula1>
    </dataValidation>
    <dataValidation type="custom" allowBlank="1" showInputMessage="1" showErrorMessage="1" sqref="H189:AG189" xr:uid="{FA407EE6-B41B-4572-B06D-4820797E8C2C}">
      <formula1>" =ISNUMBER(H192)"</formula1>
    </dataValidation>
    <dataValidation type="custom" allowBlank="1" showInputMessage="1" showErrorMessage="1" sqref="H192:AG192" xr:uid="{44158AEB-AABD-4681-9102-90E639EA50A4}">
      <formula1>" =ISNUMBER(H195)"</formula1>
    </dataValidation>
  </dataValidations>
  <pageMargins left="0.7" right="0.7" top="0.75" bottom="0.75" header="0.3" footer="0.3"/>
  <pageSetup scale="34" orientation="portrait" r:id="rId1"/>
  <rowBreaks count="6" manualBreakCount="6">
    <brk id="62" max="33" man="1"/>
    <brk id="150" max="33" man="1"/>
    <brk id="207" max="33" man="1"/>
    <brk id="276" max="33" man="1"/>
    <brk id="335" max="33" man="1"/>
    <brk id="417" max="33" man="1"/>
  </rowBreaks>
  <colBreaks count="3" manualBreakCount="3">
    <brk id="6" max="522" man="1"/>
    <brk id="15" max="522" man="1"/>
    <brk id="24" max="522" man="1"/>
  </colBreaks>
  <ignoredErrors>
    <ignoredError sqref="E74" unlockedFormula="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F9D97-FC4C-42D4-BF56-FDFD4FA7D386}">
  <sheetPr codeName="Sheet6">
    <tabColor theme="1" tint="0.34998626667073579"/>
  </sheetPr>
  <dimension ref="A1:BE984"/>
  <sheetViews>
    <sheetView zoomScale="90" zoomScaleNormal="90" zoomScaleSheetLayoutView="30" workbookViewId="0">
      <selection activeCell="A3" sqref="A3"/>
    </sheetView>
  </sheetViews>
  <sheetFormatPr defaultColWidth="8.453125" defaultRowHeight="15" thickBottom="1"/>
  <cols>
    <col min="1" max="1" width="7.453125" style="13" customWidth="1"/>
    <col min="2" max="2" width="27.453125" customWidth="1"/>
    <col min="3" max="3" width="22.453125" customWidth="1"/>
    <col min="4" max="4" width="22.453125" style="1" customWidth="1"/>
    <col min="5" max="5" width="22.453125" customWidth="1"/>
    <col min="6" max="6" width="23.81640625" customWidth="1"/>
    <col min="7" max="7" width="25.453125" customWidth="1"/>
    <col min="8" max="8" width="22.453125" customWidth="1"/>
    <col min="9" max="9" width="12.453125" bestFit="1" customWidth="1"/>
    <col min="10" max="10" width="19.36328125" customWidth="1"/>
    <col min="11" max="11" width="8.453125" style="13"/>
    <col min="12" max="12" width="22.453125" style="13" bestFit="1" customWidth="1"/>
    <col min="13" max="13" width="14.453125" style="13" bestFit="1" customWidth="1"/>
    <col min="14" max="57" width="8.453125" style="13"/>
  </cols>
  <sheetData>
    <row r="1" spans="1:57" s="501" customFormat="1" ht="20.25" customHeight="1"/>
    <row r="2" spans="1:57" s="501" customFormat="1" ht="36" customHeight="1">
      <c r="B2" s="612" t="s">
        <v>700</v>
      </c>
      <c r="C2" s="612"/>
      <c r="D2" s="612"/>
      <c r="E2" s="612"/>
      <c r="F2" s="612"/>
      <c r="G2" s="612"/>
      <c r="H2" s="612"/>
      <c r="I2" s="612"/>
      <c r="J2" s="612"/>
    </row>
    <row r="3" spans="1:57" s="501" customFormat="1" ht="20.25" customHeight="1"/>
    <row r="4" spans="1:57" s="10" customFormat="1" ht="25" customHeight="1" thickBot="1">
      <c r="A4" s="83"/>
      <c r="B4" s="500" t="s">
        <v>158</v>
      </c>
      <c r="C4" s="500" t="s">
        <v>159</v>
      </c>
      <c r="D4" s="500"/>
      <c r="E4" s="83"/>
      <c r="F4" s="500" t="s">
        <v>161</v>
      </c>
      <c r="G4" s="500" t="s">
        <v>162</v>
      </c>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row>
    <row r="5" spans="1:57" s="10" customFormat="1" ht="25" customHeight="1" thickBot="1">
      <c r="A5" s="13"/>
      <c r="B5" s="68" t="str">
        <f>IF(C5&gt;='Backend Design'!$C$20,'Backend Values'!C5-'Backend Design'!$C$20, "NA")</f>
        <v>NA</v>
      </c>
      <c r="C5" s="505">
        <v>3</v>
      </c>
      <c r="D5" s="77" t="s">
        <v>57</v>
      </c>
      <c r="E5" s="13"/>
      <c r="F5" s="68" t="str">
        <f>IF(G5&gt;=$I$40,G5-$I$40, "NA")</f>
        <v>NA</v>
      </c>
      <c r="G5" s="505">
        <v>2.5</v>
      </c>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row>
    <row r="6" spans="1:57" s="10" customFormat="1" ht="25" customHeight="1" thickBot="1">
      <c r="A6" s="13"/>
      <c r="B6" s="68" t="str">
        <f>IF(C6&gt;='Backend Design'!$C$20,'Backend Values'!C6-'Backend Design'!$C$20, "NA")</f>
        <v>NA</v>
      </c>
      <c r="C6" s="505">
        <v>4</v>
      </c>
      <c r="D6" s="77" t="s">
        <v>57</v>
      </c>
      <c r="E6" s="13"/>
      <c r="F6" s="68" t="str">
        <f t="shared" ref="F6:F16" si="0">IF(G6&gt;=$I$40,G6-$I$40, "NA")</f>
        <v>NA</v>
      </c>
      <c r="G6" s="505">
        <v>4</v>
      </c>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row>
    <row r="7" spans="1:57" s="10" customFormat="1" ht="25" customHeight="1" thickBot="1">
      <c r="A7" s="13"/>
      <c r="B7" s="68" t="str">
        <f>IF(C7&gt;='Backend Design'!$C$20,'Backend Values'!C7-'Backend Design'!$C$20, "NA")</f>
        <v>NA</v>
      </c>
      <c r="C7" s="505">
        <v>5</v>
      </c>
      <c r="D7" s="77" t="s">
        <v>57</v>
      </c>
      <c r="E7" s="13"/>
      <c r="F7" s="68">
        <f t="shared" si="0"/>
        <v>1</v>
      </c>
      <c r="G7" s="505">
        <v>6</v>
      </c>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row>
    <row r="8" spans="1:57" s="10" customFormat="1" ht="25" customHeight="1" thickBot="1">
      <c r="A8" s="13"/>
      <c r="B8" s="68" t="str">
        <f>IF(C8&gt;='Backend Design'!$C$20,'Backend Values'!C8-'Backend Design'!$C$20, "NA")</f>
        <v>NA</v>
      </c>
      <c r="C8" s="505">
        <v>7.5</v>
      </c>
      <c r="D8" s="77" t="s">
        <v>57</v>
      </c>
      <c r="E8" s="13"/>
      <c r="F8" s="68">
        <f t="shared" si="0"/>
        <v>5</v>
      </c>
      <c r="G8" s="505">
        <v>10</v>
      </c>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row>
    <row r="9" spans="1:57" s="10" customFormat="1" ht="25" customHeight="1" thickBot="1">
      <c r="A9" s="13"/>
      <c r="B9" s="68" t="str">
        <f>IF(C9&gt;='Backend Design'!$C$20,'Backend Values'!C9-'Backend Design'!$C$20, "NA")</f>
        <v>NA</v>
      </c>
      <c r="C9" s="505">
        <v>9</v>
      </c>
      <c r="D9" s="77" t="s">
        <v>57</v>
      </c>
      <c r="E9" s="13"/>
      <c r="F9" s="68">
        <f t="shared" si="0"/>
        <v>11</v>
      </c>
      <c r="G9" s="505">
        <v>16</v>
      </c>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row>
    <row r="10" spans="1:57" s="10" customFormat="1" ht="25" customHeight="1" thickBot="1">
      <c r="A10" s="13"/>
      <c r="B10" s="68" t="str">
        <f>IF(C10&gt;='Backend Design'!$C$20,'Backend Values'!C10-'Backend Design'!$C$20, "NA")</f>
        <v>NA</v>
      </c>
      <c r="C10" s="505">
        <v>15</v>
      </c>
      <c r="D10" s="77" t="s">
        <v>57</v>
      </c>
      <c r="E10" s="13"/>
      <c r="F10" s="68">
        <f t="shared" si="0"/>
        <v>20</v>
      </c>
      <c r="G10" s="505">
        <v>25</v>
      </c>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row>
    <row r="11" spans="1:57" s="10" customFormat="1" ht="25" customHeight="1" thickBot="1">
      <c r="A11" s="13"/>
      <c r="B11" s="68" t="str">
        <f>IF(C11&gt;='Backend Design'!$C$20,'Backend Values'!C11-'Backend Design'!$C$20, "NA")</f>
        <v>NA</v>
      </c>
      <c r="C11" s="505">
        <v>20</v>
      </c>
      <c r="D11" s="77" t="s">
        <v>57</v>
      </c>
      <c r="E11" s="13"/>
      <c r="F11" s="68">
        <f t="shared" si="0"/>
        <v>30</v>
      </c>
      <c r="G11" s="505">
        <v>35</v>
      </c>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row>
    <row r="12" spans="1:57" s="10" customFormat="1" ht="25" customHeight="1" thickBot="1">
      <c r="A12" s="13"/>
      <c r="B12" s="68" t="str">
        <f>IF(C12&gt;='Backend Design'!$C$20,'Backend Values'!C12-'Backend Design'!$C$20, "NA")</f>
        <v>NA</v>
      </c>
      <c r="C12" s="505">
        <v>25</v>
      </c>
      <c r="D12" s="77" t="s">
        <v>57</v>
      </c>
      <c r="E12" s="13"/>
      <c r="F12" s="68">
        <f t="shared" si="0"/>
        <v>45</v>
      </c>
      <c r="G12" s="505">
        <v>50</v>
      </c>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row>
    <row r="13" spans="1:57" s="10" customFormat="1" ht="25" customHeight="1" thickBot="1">
      <c r="A13" s="13"/>
      <c r="B13" s="80">
        <f>IF('Backend Design'!C20&gt;='Backend Values'!C13,'Backend Values'!C13,'Backend Values'!C13)</f>
        <v>25</v>
      </c>
      <c r="C13" s="505">
        <v>25</v>
      </c>
      <c r="D13" s="77" t="s">
        <v>57</v>
      </c>
      <c r="E13" s="13"/>
      <c r="F13" s="68">
        <f t="shared" si="0"/>
        <v>65</v>
      </c>
      <c r="G13" s="505">
        <v>70</v>
      </c>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row>
    <row r="14" spans="1:57" s="10" customFormat="1" ht="25" customHeight="1" thickBot="1">
      <c r="A14" s="13"/>
      <c r="B14" s="79" cm="1">
        <f t="array" ref="B14">IF(MIN((B5:B12)="NA"),B13,MIN(B5:B13))</f>
        <v>25</v>
      </c>
      <c r="C14" s="13"/>
      <c r="D14" s="13"/>
      <c r="E14" s="13"/>
      <c r="F14" s="68">
        <f t="shared" si="0"/>
        <v>90</v>
      </c>
      <c r="G14" s="505">
        <v>95</v>
      </c>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row>
    <row r="15" spans="1:57" s="10" customFormat="1" ht="25" customHeight="1" thickBot="1">
      <c r="A15" s="13"/>
      <c r="C15" s="13"/>
      <c r="D15" s="13"/>
      <c r="E15" s="13"/>
      <c r="F15" s="68">
        <f t="shared" si="0"/>
        <v>115</v>
      </c>
      <c r="G15" s="505">
        <v>120</v>
      </c>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row>
    <row r="16" spans="1:57" s="10" customFormat="1" ht="25" customHeight="1" thickBot="1">
      <c r="A16" s="13"/>
      <c r="B16" s="72" t="s">
        <v>158</v>
      </c>
      <c r="C16" s="72" t="s">
        <v>160</v>
      </c>
      <c r="D16" s="72"/>
      <c r="E16" s="13"/>
      <c r="F16" s="80">
        <f t="shared" si="0"/>
        <v>145</v>
      </c>
      <c r="G16" s="505">
        <v>150</v>
      </c>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row>
    <row r="17" spans="1:57" s="10" customFormat="1" ht="25" customHeight="1" thickBot="1">
      <c r="A17" s="13"/>
      <c r="B17" s="68" t="str">
        <f>IF(C17&gt;='Backend Design'!$C$32,'Backend Values'!C17-'Backend Design'!$C$32, "NA")</f>
        <v>NA</v>
      </c>
      <c r="C17" s="505">
        <v>6</v>
      </c>
      <c r="D17" s="77" t="s">
        <v>163</v>
      </c>
      <c r="E17" s="13"/>
      <c r="F17" s="79">
        <f>MIN(F5:F16)</f>
        <v>1</v>
      </c>
      <c r="G17"/>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row>
    <row r="18" spans="1:57" s="10" customFormat="1" ht="25" customHeight="1" thickBot="1">
      <c r="A18" s="13"/>
      <c r="B18" s="68" t="str">
        <f>IF(C18&gt;='Backend Design'!$C$32,'Backend Values'!C18-'Backend Design'!$C$32, "NA")</f>
        <v>NA</v>
      </c>
      <c r="C18" s="505">
        <v>10</v>
      </c>
      <c r="D18" s="77" t="s">
        <v>163</v>
      </c>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row>
    <row r="19" spans="1:57" s="10" customFormat="1" ht="25" customHeight="1" thickBot="1">
      <c r="A19" s="13"/>
      <c r="B19" s="68" t="str">
        <f>IF(C19&gt;='Backend Design'!$C$32,'Backend Values'!C19-'Backend Design'!$C$32, "NA")</f>
        <v>NA</v>
      </c>
      <c r="C19" s="505">
        <v>16</v>
      </c>
      <c r="D19" s="77" t="s">
        <v>163</v>
      </c>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row>
    <row r="20" spans="1:57" s="10" customFormat="1" ht="25" customHeight="1" thickBot="1">
      <c r="A20" s="13"/>
      <c r="B20" s="68" t="str">
        <f>IF(C20&gt;='Backend Design'!$C$32,'Backend Values'!C20-'Backend Design'!$C$32, "NA")</f>
        <v>NA</v>
      </c>
      <c r="C20" s="505">
        <v>32</v>
      </c>
      <c r="D20" s="77" t="s">
        <v>163</v>
      </c>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row>
    <row r="21" spans="1:57" s="10" customFormat="1" ht="25" customHeight="1" thickBot="1">
      <c r="A21" s="13"/>
      <c r="B21" s="68">
        <f>IF(C21&gt;='Backend Design'!$C$32,'Backend Values'!C21-'Backend Design'!$C$32, "NA")</f>
        <v>5.5</v>
      </c>
      <c r="C21" s="505">
        <v>63</v>
      </c>
      <c r="D21" s="77" t="s">
        <v>163</v>
      </c>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row>
    <row r="22" spans="1:57" s="10" customFormat="1" ht="25" customHeight="1" thickBot="1">
      <c r="A22" s="13"/>
      <c r="B22" s="68">
        <f>IF(C22&gt;='Backend Design'!$C$32,'Backend Values'!C22-'Backend Design'!$C$32, "NA")</f>
        <v>42.5</v>
      </c>
      <c r="C22" s="505">
        <v>100</v>
      </c>
      <c r="D22" s="77" t="s">
        <v>163</v>
      </c>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row>
    <row r="23" spans="1:57" s="10" customFormat="1" ht="25" customHeight="1" thickBot="1">
      <c r="A23" s="13"/>
      <c r="B23" s="78">
        <f>IF(C23&gt;='Backend Design'!$C$32,'Backend Values'!C23-'Backend Design'!$C$32, "NA")</f>
        <v>42.5</v>
      </c>
      <c r="C23" s="505">
        <v>100</v>
      </c>
      <c r="D23" s="77" t="s">
        <v>163</v>
      </c>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row>
    <row r="24" spans="1:57" s="10" customFormat="1" ht="25" customHeight="1" thickBot="1">
      <c r="A24" s="13"/>
      <c r="B24" s="79" cm="1">
        <f t="array" ref="B24">IF(MIN((B17:B23)="NA"),100,MIN(B17:B23))</f>
        <v>5.5</v>
      </c>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row>
    <row r="25" spans="1:57" ht="25" customHeight="1" thickBot="1">
      <c r="C25" s="13"/>
      <c r="D25" s="13"/>
      <c r="E25" s="13"/>
      <c r="F25" s="13"/>
      <c r="G25" s="13"/>
      <c r="H25" s="13"/>
      <c r="I25" s="13"/>
      <c r="J25" s="13"/>
    </row>
    <row r="26" spans="1:57" ht="25" customHeight="1" thickBot="1">
      <c r="B26" s="613" t="s">
        <v>164</v>
      </c>
      <c r="C26" s="636"/>
      <c r="D26" s="636"/>
      <c r="E26" s="636"/>
      <c r="F26" s="636"/>
      <c r="G26" s="636"/>
      <c r="H26" s="636"/>
      <c r="I26" s="636"/>
      <c r="J26" s="614"/>
    </row>
    <row r="27" spans="1:57" ht="25" customHeight="1" thickBot="1">
      <c r="B27" s="2"/>
      <c r="C27" s="3"/>
      <c r="D27" s="3"/>
      <c r="E27" s="3"/>
      <c r="F27" s="3"/>
      <c r="G27" s="3"/>
      <c r="H27" s="3"/>
      <c r="I27" s="3"/>
      <c r="J27" s="3"/>
    </row>
    <row r="28" spans="1:57" ht="25" customHeight="1" thickBot="1">
      <c r="B28" s="640" t="s">
        <v>165</v>
      </c>
      <c r="C28" s="641"/>
      <c r="D28" s="641"/>
      <c r="E28" s="641"/>
      <c r="F28" s="641"/>
      <c r="G28" s="641"/>
      <c r="H28" s="641"/>
      <c r="I28" s="641"/>
      <c r="J28" s="642"/>
    </row>
    <row r="29" spans="1:57" ht="25" customHeight="1" thickBot="1">
      <c r="B29" s="2"/>
      <c r="C29" s="3"/>
      <c r="D29" s="3"/>
      <c r="E29" s="3"/>
      <c r="F29" s="3"/>
      <c r="G29" s="3"/>
      <c r="H29" s="3"/>
      <c r="I29" s="3"/>
      <c r="J29" s="3"/>
    </row>
    <row r="30" spans="1:57" ht="25" customHeight="1" thickBot="1">
      <c r="C30" s="643" t="s">
        <v>166</v>
      </c>
      <c r="D30" s="643"/>
      <c r="E30" s="643"/>
      <c r="F30" s="643"/>
      <c r="G30" s="643"/>
      <c r="H30" s="3"/>
      <c r="I30" s="3"/>
      <c r="J30" s="3"/>
    </row>
    <row r="31" spans="1:57" ht="25" customHeight="1" thickBot="1">
      <c r="B31" s="4" t="s">
        <v>167</v>
      </c>
      <c r="C31" s="3"/>
      <c r="D31" s="3"/>
      <c r="E31" s="3"/>
      <c r="F31" s="3"/>
      <c r="G31" s="3"/>
      <c r="H31" s="3"/>
      <c r="I31" s="3"/>
      <c r="J31" s="3"/>
    </row>
    <row r="32" spans="1:57" ht="25" customHeight="1" thickBot="1">
      <c r="B32" s="5" t="s">
        <v>168</v>
      </c>
      <c r="C32" s="3"/>
      <c r="D32" s="3"/>
      <c r="E32" s="3"/>
      <c r="F32" s="3"/>
      <c r="G32" s="3"/>
      <c r="H32" s="3"/>
      <c r="I32" s="3"/>
      <c r="J32" s="3"/>
    </row>
    <row r="33" spans="2:10" ht="25" customHeight="1" thickBot="1">
      <c r="B33" s="5" t="s">
        <v>169</v>
      </c>
      <c r="C33" s="3"/>
      <c r="D33" s="3"/>
      <c r="E33" s="3"/>
      <c r="F33" s="3"/>
      <c r="G33" s="3"/>
      <c r="H33" s="3"/>
      <c r="I33" s="3"/>
      <c r="J33" s="3"/>
    </row>
    <row r="34" spans="2:10" ht="25" customHeight="1" thickBot="1">
      <c r="B34" s="5" t="s">
        <v>170</v>
      </c>
      <c r="C34" s="6"/>
      <c r="D34" s="7"/>
      <c r="E34" s="7"/>
      <c r="F34" s="7"/>
      <c r="G34" s="7"/>
      <c r="H34" s="7"/>
      <c r="I34" s="8"/>
      <c r="J34" s="3"/>
    </row>
    <row r="35" spans="2:10" ht="25" customHeight="1" thickBot="1">
      <c r="B35" s="5" t="s">
        <v>171</v>
      </c>
      <c r="C35" s="6"/>
      <c r="D35" s="7"/>
      <c r="E35" s="7"/>
      <c r="F35" s="7"/>
      <c r="G35" s="7"/>
      <c r="H35" s="7"/>
      <c r="I35" s="9"/>
      <c r="J35" s="3"/>
    </row>
    <row r="36" spans="2:10" ht="25" customHeight="1" thickBot="1">
      <c r="B36" s="5" t="s">
        <v>172</v>
      </c>
      <c r="C36" s="6"/>
      <c r="D36" s="3"/>
      <c r="E36" s="3"/>
      <c r="F36" s="3"/>
      <c r="G36" s="3"/>
      <c r="H36" s="3"/>
      <c r="I36" s="9"/>
      <c r="J36" s="3"/>
    </row>
    <row r="37" spans="2:10" ht="25" customHeight="1" thickBot="1">
      <c r="B37" s="2"/>
      <c r="C37" s="3"/>
      <c r="D37" s="3"/>
      <c r="E37" s="3"/>
      <c r="F37" s="3"/>
      <c r="G37" s="3"/>
      <c r="H37" s="3"/>
      <c r="I37" s="3"/>
      <c r="J37" s="3"/>
    </row>
    <row r="38" spans="2:10" ht="25" customHeight="1" thickBot="1">
      <c r="B38" s="637" t="s">
        <v>173</v>
      </c>
      <c r="C38" s="638"/>
      <c r="D38" s="638"/>
      <c r="E38" s="638"/>
      <c r="F38" s="638"/>
      <c r="G38" s="638"/>
      <c r="H38" s="638"/>
      <c r="I38" s="638"/>
      <c r="J38" s="639"/>
    </row>
    <row r="39" spans="2:10" ht="40" customHeight="1" thickBot="1">
      <c r="B39" s="77" t="s">
        <v>174</v>
      </c>
      <c r="C39" s="77" t="s">
        <v>175</v>
      </c>
      <c r="D39" s="77" t="s">
        <v>176</v>
      </c>
      <c r="E39" s="77" t="s">
        <v>177</v>
      </c>
      <c r="F39" s="77" t="s">
        <v>192</v>
      </c>
      <c r="G39" s="77" t="s">
        <v>178</v>
      </c>
      <c r="H39" s="77" t="s">
        <v>179</v>
      </c>
      <c r="I39" s="77" t="s">
        <v>191</v>
      </c>
      <c r="J39" s="77" t="s">
        <v>180</v>
      </c>
    </row>
    <row r="40" spans="2:10" ht="25" customHeight="1" thickBot="1">
      <c r="B40" s="505">
        <v>1</v>
      </c>
      <c r="C40" s="505" t="s">
        <v>157</v>
      </c>
      <c r="D40" s="68">
        <f>'Backend Design'!C22*10</f>
        <v>40</v>
      </c>
      <c r="E40" s="505">
        <v>2</v>
      </c>
      <c r="F40" s="68">
        <f>IF('2. Inputs'!D31="Three Phase",400,230)</f>
        <v>400</v>
      </c>
      <c r="G40" s="68">
        <f>('Backend Design'!C29/'Backend Values'!F40)*1.15</f>
        <v>71.875</v>
      </c>
      <c r="H40" s="68">
        <f>D40*2*G40*12.9/(F40*(E40/100))</f>
        <v>9271.875</v>
      </c>
      <c r="I40" s="68">
        <f>ROUNDUP(H40*J43,0)</f>
        <v>5</v>
      </c>
      <c r="J40" s="68">
        <f>VLOOKUP(F17,F5:G16,2)</f>
        <v>6</v>
      </c>
    </row>
    <row r="41" spans="2:10" ht="25" customHeight="1" thickBot="1">
      <c r="B41" s="13"/>
      <c r="C41" s="13"/>
      <c r="D41" s="13"/>
      <c r="E41" s="13"/>
      <c r="F41" s="13"/>
      <c r="G41" s="13"/>
      <c r="H41" s="13"/>
      <c r="I41" s="13"/>
      <c r="J41" s="13"/>
    </row>
    <row r="42" spans="2:10" ht="25" customHeight="1" thickBot="1">
      <c r="B42" s="13"/>
      <c r="C42" s="13"/>
      <c r="D42" s="13"/>
      <c r="E42" s="13"/>
      <c r="F42" s="13"/>
      <c r="G42" s="13"/>
      <c r="H42" s="13"/>
      <c r="I42" s="68" t="s">
        <v>181</v>
      </c>
      <c r="J42" s="68" t="s">
        <v>182</v>
      </c>
    </row>
    <row r="43" spans="2:10" ht="25" customHeight="1" thickBot="1">
      <c r="B43" s="13"/>
      <c r="C43" s="13"/>
      <c r="D43" s="13"/>
      <c r="E43" s="13"/>
      <c r="F43" s="13"/>
      <c r="G43" s="13"/>
      <c r="H43" s="13"/>
      <c r="I43" s="68">
        <v>1</v>
      </c>
      <c r="J43" s="68">
        <f>0.0005067075</f>
        <v>5.0670749999999997E-4</v>
      </c>
    </row>
    <row r="44" spans="2:10" s="13" customFormat="1" ht="20.25" customHeight="1" thickBot="1"/>
    <row r="45" spans="2:10" s="13" customFormat="1" ht="20.25" customHeight="1" thickBot="1"/>
    <row r="46" spans="2:10" s="13" customFormat="1" ht="20.25" customHeight="1" thickBot="1"/>
    <row r="47" spans="2:10" s="13" customFormat="1" ht="20.25" customHeight="1" thickBot="1"/>
    <row r="48" spans="2:10" s="13" customFormat="1" ht="20.25" customHeight="1" thickBot="1"/>
    <row r="49" s="13" customFormat="1" ht="20.25" customHeight="1" thickBot="1"/>
    <row r="50" s="13" customFormat="1" ht="20.25" customHeight="1" thickBot="1"/>
    <row r="51" s="13" customFormat="1" ht="20.25" customHeight="1" thickBot="1"/>
    <row r="52" s="13" customFormat="1" ht="22.5" customHeight="1" thickBot="1"/>
    <row r="53" s="13" customFormat="1" ht="22.5" customHeight="1" thickBot="1"/>
    <row r="54" s="13" customFormat="1" ht="22.5" customHeight="1" thickBot="1"/>
    <row r="55" s="13" customFormat="1" ht="22.5" customHeight="1" thickBot="1"/>
    <row r="56" s="13" customFormat="1" ht="22.5" customHeight="1" thickBot="1"/>
    <row r="57" s="13" customFormat="1" ht="22.5" customHeight="1" thickBot="1"/>
    <row r="58" s="13" customFormat="1" ht="22.5" customHeight="1" thickBot="1"/>
    <row r="59" s="13" customFormat="1" ht="22.5" customHeight="1" thickBot="1"/>
    <row r="60" s="13" customFormat="1" ht="22.5" customHeight="1" thickBot="1"/>
    <row r="61" s="13" customFormat="1" ht="22.5" customHeight="1" thickBot="1"/>
    <row r="62" s="13" customFormat="1" ht="22.5" customHeight="1" thickBot="1"/>
    <row r="63" s="13" customFormat="1" ht="22.5" customHeight="1" thickBot="1"/>
    <row r="64" s="13" customFormat="1" ht="22.5" customHeight="1" thickBot="1"/>
    <row r="65" s="13" customFormat="1" ht="22.5" customHeight="1" thickBot="1"/>
    <row r="66" s="13" customFormat="1" ht="22.5" customHeight="1" thickBot="1"/>
    <row r="67" s="13" customFormat="1" ht="22.5" customHeight="1" thickBot="1"/>
    <row r="68" s="13" customFormat="1" ht="22.5" customHeight="1" thickBot="1"/>
    <row r="69" s="13" customFormat="1" ht="22.5" customHeight="1" thickBot="1"/>
    <row r="70" s="13" customFormat="1" ht="22.5" customHeight="1" thickBot="1"/>
    <row r="71" s="13" customFormat="1" ht="22.5" customHeight="1" thickBot="1"/>
    <row r="72" s="13" customFormat="1" ht="22.5" customHeight="1" thickBot="1"/>
    <row r="73" s="13" customFormat="1" ht="22.5" customHeight="1" thickBot="1"/>
    <row r="74" s="13" customFormat="1" ht="22.5" customHeight="1" thickBot="1"/>
    <row r="75" s="13" customFormat="1" ht="22.5" customHeight="1" thickBot="1"/>
    <row r="76" s="13" customFormat="1" ht="22.5" customHeight="1" thickBot="1"/>
    <row r="77" s="13" customFormat="1" ht="22.5" customHeight="1" thickBot="1"/>
    <row r="78" s="13" customFormat="1" ht="22.5" customHeight="1" thickBot="1"/>
    <row r="79" s="13" customFormat="1" ht="22.5" customHeight="1" thickBot="1"/>
    <row r="80" s="13" customFormat="1" ht="22.5" customHeight="1" thickBot="1"/>
    <row r="81" s="13" customFormat="1" ht="22.5" customHeight="1" thickBot="1"/>
    <row r="82" s="13" customFormat="1" ht="22.5" customHeight="1" thickBot="1"/>
    <row r="83" s="13" customFormat="1" ht="22.5" customHeight="1" thickBot="1"/>
    <row r="84" s="13" customFormat="1" ht="22.5" customHeight="1" thickBot="1"/>
    <row r="85" s="13" customFormat="1" ht="22.5" customHeight="1" thickBot="1"/>
    <row r="86" s="13" customFormat="1" ht="22.5" customHeight="1" thickBot="1"/>
    <row r="87" s="13" customFormat="1" ht="22.5" customHeight="1" thickBot="1"/>
    <row r="88" s="13" customFormat="1" ht="22.5" customHeight="1" thickBot="1"/>
    <row r="89" s="13" customFormat="1" ht="22.5" customHeight="1" thickBot="1"/>
    <row r="90" s="13" customFormat="1" ht="22.5" customHeight="1" thickBot="1"/>
    <row r="91" s="13" customFormat="1" ht="22.5" customHeight="1" thickBot="1"/>
    <row r="92" s="13" customFormat="1" ht="22.5" customHeight="1" thickBot="1"/>
    <row r="93" s="13" customFormat="1" ht="22.5" customHeight="1" thickBot="1"/>
    <row r="94" s="13" customFormat="1" ht="22.5" customHeight="1" thickBot="1"/>
    <row r="95" s="13" customFormat="1" ht="22.5" customHeight="1" thickBot="1"/>
    <row r="96" s="13" customFormat="1" ht="22.5" customHeight="1" thickBot="1"/>
    <row r="97" s="13" customFormat="1" ht="22.5" customHeight="1" thickBot="1"/>
    <row r="98" s="13" customFormat="1" ht="22.5" customHeight="1" thickBot="1"/>
    <row r="99" s="13" customFormat="1" ht="22.5" customHeight="1" thickBot="1"/>
    <row r="100" s="13" customFormat="1" ht="22.5" customHeight="1" thickBot="1"/>
    <row r="101" s="13" customFormat="1" ht="22.5" customHeight="1" thickBot="1"/>
    <row r="102" s="13" customFormat="1" ht="22.5" customHeight="1" thickBot="1"/>
    <row r="103" s="13" customFormat="1" ht="22.5" customHeight="1" thickBot="1"/>
    <row r="104" s="13" customFormat="1" ht="22.5" customHeight="1" thickBot="1"/>
    <row r="105" s="13" customFormat="1" ht="22.5" customHeight="1" thickBot="1"/>
    <row r="106" s="13" customFormat="1" ht="22.5" customHeight="1" thickBot="1"/>
    <row r="107" s="13" customFormat="1" ht="22.5" customHeight="1" thickBot="1"/>
    <row r="108" s="13" customFormat="1" ht="22.5" customHeight="1" thickBot="1"/>
    <row r="109" s="13" customFormat="1" ht="22.5" customHeight="1" thickBot="1"/>
    <row r="110" s="13" customFormat="1" ht="22.5" customHeight="1" thickBot="1"/>
    <row r="111" s="13" customFormat="1" ht="22.5" customHeight="1" thickBot="1"/>
    <row r="112" s="13" customFormat="1" ht="22.5" customHeight="1" thickBot="1"/>
    <row r="113" s="13" customFormat="1" ht="22.5" customHeight="1" thickBot="1"/>
    <row r="114" s="13" customFormat="1" ht="22.5" customHeight="1" thickBot="1"/>
    <row r="115" s="13" customFormat="1" ht="22.5" customHeight="1" thickBot="1"/>
    <row r="116" s="13" customFormat="1" ht="22.5" customHeight="1" thickBot="1"/>
    <row r="117" s="13" customFormat="1" ht="22.5" customHeight="1" thickBot="1"/>
    <row r="118" s="13" customFormat="1" ht="22.5" customHeight="1" thickBot="1"/>
    <row r="119" s="13" customFormat="1" ht="22.5" customHeight="1" thickBot="1"/>
    <row r="120" s="13" customFormat="1" ht="22.5" customHeight="1" thickBot="1"/>
    <row r="121" s="13" customFormat="1" ht="22.5" customHeight="1" thickBot="1"/>
    <row r="122" s="13" customFormat="1" ht="22.5" customHeight="1" thickBot="1"/>
    <row r="123" s="13" customFormat="1" ht="22.5" customHeight="1" thickBot="1"/>
    <row r="124" s="13" customFormat="1" ht="22.5" customHeight="1" thickBot="1"/>
    <row r="125" s="13" customFormat="1" ht="22.5" customHeight="1" thickBot="1"/>
    <row r="126" s="13" customFormat="1" ht="22.5" customHeight="1" thickBot="1"/>
    <row r="127" s="13" customFormat="1" ht="22.5" customHeight="1" thickBot="1"/>
    <row r="128" s="13" customFormat="1" ht="22.5" customHeight="1" thickBot="1"/>
    <row r="129" s="13" customFormat="1" ht="22.5" customHeight="1" thickBot="1"/>
    <row r="130" s="13" customFormat="1" ht="22.5" customHeight="1" thickBot="1"/>
    <row r="131" s="13" customFormat="1" ht="22.5" customHeight="1" thickBot="1"/>
    <row r="132" s="13" customFormat="1" ht="22.5" customHeight="1" thickBot="1"/>
    <row r="133" s="13" customFormat="1" ht="22.5" customHeight="1" thickBot="1"/>
    <row r="134" s="13" customFormat="1" ht="22.5" customHeight="1" thickBot="1"/>
    <row r="135" s="13" customFormat="1" ht="22.5" customHeight="1" thickBot="1"/>
    <row r="136" s="13" customFormat="1" ht="22.5" customHeight="1" thickBot="1"/>
    <row r="137" s="13" customFormat="1" ht="22.5" customHeight="1" thickBot="1"/>
    <row r="138" s="13" customFormat="1" ht="22.5" customHeight="1" thickBot="1"/>
    <row r="139" s="13" customFormat="1" ht="22.5" customHeight="1" thickBot="1"/>
    <row r="140" s="13" customFormat="1" ht="22.5" customHeight="1" thickBot="1"/>
    <row r="141" s="13" customFormat="1" ht="22.5" customHeight="1" thickBot="1"/>
    <row r="142" s="13" customFormat="1" ht="22.5" customHeight="1" thickBot="1"/>
    <row r="143" s="13" customFormat="1" ht="22.5" customHeight="1" thickBot="1"/>
    <row r="144" s="13" customFormat="1" ht="22.5" customHeight="1" thickBot="1"/>
    <row r="145" s="13" customFormat="1" ht="22.5" customHeight="1" thickBot="1"/>
    <row r="146" s="13" customFormat="1" ht="22.5" customHeight="1" thickBot="1"/>
    <row r="147" s="13" customFormat="1" ht="22.5" customHeight="1" thickBot="1"/>
    <row r="148" s="13" customFormat="1" ht="22.5" customHeight="1" thickBot="1"/>
    <row r="149" s="13" customFormat="1" ht="22.5" customHeight="1" thickBot="1"/>
    <row r="150" s="13" customFormat="1" ht="22.5" customHeight="1" thickBot="1"/>
    <row r="151" s="13" customFormat="1" ht="22.5" customHeight="1" thickBot="1"/>
    <row r="152" s="13" customFormat="1" ht="22.5" customHeight="1" thickBot="1"/>
    <row r="153" s="13" customFormat="1" ht="22.5" customHeight="1" thickBot="1"/>
    <row r="154" s="13" customFormat="1" ht="22.5" customHeight="1" thickBot="1"/>
    <row r="155" s="13" customFormat="1" ht="22.5" customHeight="1" thickBot="1"/>
    <row r="156" s="13" customFormat="1" ht="22.5" customHeight="1" thickBot="1"/>
    <row r="157" s="13" customFormat="1" ht="22.5" customHeight="1" thickBot="1"/>
    <row r="158" s="13" customFormat="1" ht="22.5" customHeight="1" thickBot="1"/>
    <row r="159" s="13" customFormat="1" ht="22.5" customHeight="1" thickBot="1"/>
    <row r="160" s="13" customFormat="1" ht="22.5" customHeight="1" thickBot="1"/>
    <row r="161" s="13" customFormat="1" ht="22.5" customHeight="1" thickBot="1"/>
    <row r="162" s="13" customFormat="1" ht="22.5" customHeight="1" thickBot="1"/>
    <row r="163" s="13" customFormat="1" ht="22.5" customHeight="1" thickBot="1"/>
    <row r="164" s="13" customFormat="1" ht="22.5" customHeight="1" thickBot="1"/>
    <row r="165" s="13" customFormat="1" ht="22.5" customHeight="1" thickBot="1"/>
    <row r="166" s="13" customFormat="1" ht="22.5" customHeight="1" thickBot="1"/>
    <row r="167" s="13" customFormat="1" ht="22.5" customHeight="1" thickBot="1"/>
    <row r="168" s="13" customFormat="1" ht="22.5" customHeight="1" thickBot="1"/>
    <row r="169" s="13" customFormat="1" ht="22.5" customHeight="1" thickBot="1"/>
    <row r="170" s="13" customFormat="1" ht="22.5" customHeight="1" thickBot="1"/>
    <row r="171" s="13" customFormat="1" ht="22.5" customHeight="1" thickBot="1"/>
    <row r="172" s="13" customFormat="1" ht="22.5" customHeight="1" thickBot="1"/>
    <row r="173" s="13" customFormat="1" ht="22.5" customHeight="1" thickBot="1"/>
    <row r="174" s="13" customFormat="1" ht="22.5" customHeight="1" thickBot="1"/>
    <row r="175" s="13" customFormat="1" ht="22.5" customHeight="1" thickBot="1"/>
    <row r="176" s="13" customFormat="1" ht="22.5" customHeight="1" thickBot="1"/>
    <row r="177" s="13" customFormat="1" ht="22.5" customHeight="1" thickBot="1"/>
    <row r="178" s="13" customFormat="1" ht="22.5" customHeight="1" thickBot="1"/>
    <row r="179" s="13" customFormat="1" ht="22.5" customHeight="1" thickBot="1"/>
    <row r="180" s="13" customFormat="1" ht="22.5" customHeight="1" thickBot="1"/>
    <row r="181" s="13" customFormat="1" ht="22.5" customHeight="1" thickBot="1"/>
    <row r="182" s="13" customFormat="1" ht="22.5" customHeight="1" thickBot="1"/>
    <row r="183" s="13" customFormat="1" ht="22.5" customHeight="1" thickBot="1"/>
    <row r="184" s="13" customFormat="1" ht="22.5" customHeight="1" thickBot="1"/>
    <row r="185" s="13" customFormat="1" ht="22.5" customHeight="1" thickBot="1"/>
    <row r="186" s="13" customFormat="1" ht="22.5" customHeight="1" thickBot="1"/>
    <row r="187" s="13" customFormat="1" ht="22.5" customHeight="1" thickBot="1"/>
    <row r="188" s="13" customFormat="1" ht="22.5" customHeight="1" thickBot="1"/>
    <row r="189" s="13" customFormat="1" ht="22.5" customHeight="1" thickBot="1"/>
    <row r="190" s="13" customFormat="1" ht="22.5" customHeight="1" thickBot="1"/>
    <row r="191" s="13" customFormat="1" ht="22.5" customHeight="1" thickBot="1"/>
    <row r="192" s="13" customFormat="1" ht="22.5" customHeight="1" thickBot="1"/>
    <row r="193" s="13" customFormat="1" ht="22.5" customHeight="1" thickBot="1"/>
    <row r="194" s="13" customFormat="1" ht="22.5" customHeight="1" thickBot="1"/>
    <row r="195" s="13" customFormat="1" ht="22.5" customHeight="1" thickBot="1"/>
    <row r="196" s="13" customFormat="1" ht="22.5" customHeight="1" thickBot="1"/>
    <row r="197" s="13" customFormat="1" ht="22.5" customHeight="1" thickBot="1"/>
    <row r="198" s="13" customFormat="1" ht="22.5" customHeight="1" thickBot="1"/>
    <row r="199" s="13" customFormat="1" ht="22.5" customHeight="1" thickBot="1"/>
    <row r="200" s="13" customFormat="1" ht="22.5" customHeight="1" thickBot="1"/>
    <row r="201" s="13" customFormat="1" ht="22.5" customHeight="1" thickBot="1"/>
    <row r="202" s="13" customFormat="1" ht="22.5" customHeight="1" thickBot="1"/>
    <row r="203" s="13" customFormat="1" ht="22.5" customHeight="1" thickBot="1"/>
    <row r="204" s="13" customFormat="1" ht="22.5" customHeight="1" thickBot="1"/>
    <row r="205" s="13" customFormat="1" ht="22.5" customHeight="1" thickBot="1"/>
    <row r="206" s="13" customFormat="1" ht="22.5" customHeight="1" thickBot="1"/>
    <row r="207" s="13" customFormat="1" ht="22.5" customHeight="1" thickBot="1"/>
    <row r="208" s="13" customFormat="1" ht="13.5" thickBot="1"/>
    <row r="209" s="13" customFormat="1" ht="13.5" thickBot="1"/>
    <row r="210" s="13" customFormat="1" ht="13.5" thickBot="1"/>
    <row r="211" s="13" customFormat="1" ht="13.5" thickBot="1"/>
    <row r="212" s="13" customFormat="1" ht="13.5" thickBot="1"/>
    <row r="213" s="13" customFormat="1" ht="13.5" thickBot="1"/>
    <row r="214" s="13" customFormat="1" ht="13.5" thickBot="1"/>
    <row r="215" s="13" customFormat="1" ht="13.5" thickBot="1"/>
    <row r="216" s="13" customFormat="1" ht="13.5" thickBot="1"/>
    <row r="217" s="13" customFormat="1" ht="13.5" thickBot="1"/>
    <row r="218" s="13" customFormat="1" ht="13.5" thickBot="1"/>
    <row r="219" s="13" customFormat="1" ht="13.5" thickBot="1"/>
    <row r="220" s="13" customFormat="1" ht="13.5" thickBot="1"/>
    <row r="221" s="13" customFormat="1" ht="13.5" thickBot="1"/>
    <row r="222" s="13" customFormat="1" ht="13.5" thickBot="1"/>
    <row r="223" s="13" customFormat="1" ht="13.5" thickBot="1"/>
    <row r="224" s="13" customFormat="1" ht="13.5" thickBot="1"/>
    <row r="225" s="13" customFormat="1" ht="13.5" thickBot="1"/>
    <row r="226" s="13" customFormat="1" ht="13.5" thickBot="1"/>
    <row r="227" s="13" customFormat="1" ht="13.5" thickBot="1"/>
    <row r="228" s="13" customFormat="1" ht="13.5" thickBot="1"/>
    <row r="229" s="13" customFormat="1" ht="13.5" thickBot="1"/>
    <row r="230" s="13" customFormat="1" ht="13.5" thickBot="1"/>
    <row r="231" s="13" customFormat="1" ht="13.5" thickBot="1"/>
    <row r="232" s="13" customFormat="1" ht="13.5" thickBot="1"/>
    <row r="233" s="13" customFormat="1" ht="13.5" thickBot="1"/>
    <row r="234" s="13" customFormat="1" ht="13.5" thickBot="1"/>
    <row r="235" s="13" customFormat="1" ht="13.5" thickBot="1"/>
    <row r="236" s="13" customFormat="1" ht="13.5" thickBot="1"/>
    <row r="237" s="13" customFormat="1" ht="13.5" thickBot="1"/>
    <row r="238" s="13" customFormat="1" ht="13.5" thickBot="1"/>
    <row r="239" s="13" customFormat="1" ht="13.5" thickBot="1"/>
    <row r="240" s="13" customFormat="1" ht="13.5" thickBot="1"/>
    <row r="241" s="13" customFormat="1" ht="13.5" thickBot="1"/>
    <row r="242" s="13" customFormat="1" ht="13.5" thickBot="1"/>
    <row r="243" s="13" customFormat="1" ht="13.5" thickBot="1"/>
    <row r="244" s="13" customFormat="1" ht="13.5" thickBot="1"/>
    <row r="245" s="13" customFormat="1" ht="13.5" thickBot="1"/>
    <row r="246" s="13" customFormat="1" ht="13.5" thickBot="1"/>
    <row r="247" s="13" customFormat="1" ht="13.5" thickBot="1"/>
    <row r="248" s="13" customFormat="1" ht="13.5" thickBot="1"/>
    <row r="249" s="13" customFormat="1" ht="13.5" thickBot="1"/>
    <row r="250" s="13" customFormat="1" ht="13.5" thickBot="1"/>
    <row r="251" s="13" customFormat="1" ht="13.5" thickBot="1"/>
    <row r="252" s="13" customFormat="1" ht="13.5" thickBot="1"/>
    <row r="253" s="13" customFormat="1" ht="13.5" thickBot="1"/>
    <row r="254" s="13" customFormat="1" ht="13.5" thickBot="1"/>
    <row r="255" s="13" customFormat="1" ht="13.5" thickBot="1"/>
    <row r="256" s="13" customFormat="1" ht="13.5" thickBot="1"/>
    <row r="257" s="13" customFormat="1" ht="13.5" thickBot="1"/>
    <row r="258" s="13" customFormat="1" ht="13.5" thickBot="1"/>
    <row r="259" s="13" customFormat="1" ht="13.5" thickBot="1"/>
    <row r="260" s="13" customFormat="1" ht="13.5" thickBot="1"/>
    <row r="261" s="13" customFormat="1" ht="13.5" thickBot="1"/>
    <row r="262" s="13" customFormat="1" ht="13.5" thickBot="1"/>
    <row r="263" s="13" customFormat="1" ht="13.5" thickBot="1"/>
    <row r="264" s="13" customFormat="1" ht="13.5" thickBot="1"/>
    <row r="265" s="13" customFormat="1" ht="13.5" thickBot="1"/>
    <row r="266" s="13" customFormat="1" ht="13.5" thickBot="1"/>
    <row r="267" s="13" customFormat="1" ht="13.5" thickBot="1"/>
    <row r="268" s="13" customFormat="1" ht="13.5" thickBot="1"/>
    <row r="269" s="13" customFormat="1" ht="13.5" thickBot="1"/>
    <row r="270" s="13" customFormat="1" ht="13.5" thickBot="1"/>
    <row r="271" s="13" customFormat="1" ht="13.5" thickBot="1"/>
    <row r="272" s="13" customFormat="1" ht="13.5" thickBot="1"/>
    <row r="273" s="13" customFormat="1" ht="13.5" thickBot="1"/>
    <row r="274" s="13" customFormat="1" ht="13.5" thickBot="1"/>
    <row r="275" s="13" customFormat="1" ht="13.5" thickBot="1"/>
    <row r="276" s="13" customFormat="1" ht="13.5" thickBot="1"/>
    <row r="277" s="13" customFormat="1" ht="13.5" thickBot="1"/>
    <row r="278" s="13" customFormat="1" ht="13.5" thickBot="1"/>
    <row r="279" s="13" customFormat="1" ht="13.5" thickBot="1"/>
    <row r="280" s="13" customFormat="1" ht="13.5" thickBot="1"/>
    <row r="281" s="13" customFormat="1" ht="13.5" thickBot="1"/>
    <row r="282" s="13" customFormat="1" ht="13.5" thickBot="1"/>
    <row r="283" s="13" customFormat="1" ht="13.5" thickBot="1"/>
    <row r="284" s="13" customFormat="1" ht="13.5" thickBot="1"/>
    <row r="285" s="13" customFormat="1" ht="13.5" thickBot="1"/>
    <row r="286" s="13" customFormat="1" ht="13.5" thickBot="1"/>
    <row r="287" s="13" customFormat="1" ht="13.5" thickBot="1"/>
    <row r="288" s="13" customFormat="1" ht="13.5" thickBot="1"/>
    <row r="289" s="13" customFormat="1" ht="13.5" thickBot="1"/>
    <row r="290" s="13" customFormat="1" ht="13.5" thickBot="1"/>
    <row r="291" s="13" customFormat="1" ht="13.5" thickBot="1"/>
    <row r="292" s="13" customFormat="1" ht="13.5" thickBot="1"/>
    <row r="293" s="13" customFormat="1" ht="13.5" thickBot="1"/>
    <row r="294" s="13" customFormat="1" ht="13.5" thickBot="1"/>
    <row r="295" s="13" customFormat="1" ht="13.5" thickBot="1"/>
    <row r="296" s="13" customFormat="1" ht="13.5" thickBot="1"/>
    <row r="297" s="13" customFormat="1" ht="13.5" thickBot="1"/>
    <row r="298" s="13" customFormat="1" ht="13.5" thickBot="1"/>
    <row r="299" s="13" customFormat="1" ht="13.5" thickBot="1"/>
    <row r="300" s="13" customFormat="1" ht="13.5" thickBot="1"/>
    <row r="301" s="13" customFormat="1" ht="13.5" thickBot="1"/>
    <row r="302" s="13" customFormat="1" ht="13.5" thickBot="1"/>
    <row r="303" s="13" customFormat="1" ht="13.5" thickBot="1"/>
    <row r="304" s="13" customFormat="1" ht="13.5" thickBot="1"/>
    <row r="305" s="13" customFormat="1" ht="13.5" thickBot="1"/>
    <row r="306" s="13" customFormat="1" ht="13.5" thickBot="1"/>
    <row r="307" s="13" customFormat="1" ht="13.5" thickBot="1"/>
    <row r="308" s="13" customFormat="1" ht="13.5" thickBot="1"/>
    <row r="309" s="13" customFormat="1" ht="13.5" thickBot="1"/>
    <row r="310" s="13" customFormat="1" ht="13.5" thickBot="1"/>
    <row r="311" s="13" customFormat="1" ht="13.5" thickBot="1"/>
    <row r="312" s="13" customFormat="1" ht="13.5" thickBot="1"/>
    <row r="313" s="13" customFormat="1" ht="13.5" thickBot="1"/>
    <row r="314" s="13" customFormat="1" ht="13.5" thickBot="1"/>
    <row r="315" s="13" customFormat="1" ht="13.5" thickBot="1"/>
    <row r="316" s="13" customFormat="1" ht="13.5" thickBot="1"/>
    <row r="317" s="13" customFormat="1" ht="13.5" thickBot="1"/>
    <row r="318" s="13" customFormat="1" ht="13.5" thickBot="1"/>
    <row r="319" s="13" customFormat="1" ht="13.5" thickBot="1"/>
    <row r="320" s="13" customFormat="1" ht="13.5" thickBot="1"/>
    <row r="321" s="13" customFormat="1" ht="13.5" thickBot="1"/>
    <row r="322" s="13" customFormat="1" ht="13.5" thickBot="1"/>
    <row r="323" s="13" customFormat="1" ht="13.5" thickBot="1"/>
    <row r="324" s="13" customFormat="1" ht="13.5" thickBot="1"/>
    <row r="325" s="13" customFormat="1" ht="13.5" thickBot="1"/>
    <row r="326" s="13" customFormat="1" ht="13.5" thickBot="1"/>
    <row r="327" s="13" customFormat="1" ht="13.5" thickBot="1"/>
    <row r="328" s="13" customFormat="1" ht="13.5" thickBot="1"/>
    <row r="329" s="13" customFormat="1" ht="13.5" thickBot="1"/>
    <row r="330" s="13" customFormat="1" ht="13.5" thickBot="1"/>
    <row r="331" s="13" customFormat="1" ht="13.5" thickBot="1"/>
    <row r="332" s="13" customFormat="1" ht="13.5" thickBot="1"/>
    <row r="333" s="13" customFormat="1" ht="13.5" thickBot="1"/>
    <row r="334" s="13" customFormat="1" ht="13.5" thickBot="1"/>
    <row r="335" s="13" customFormat="1" ht="13.5" thickBot="1"/>
    <row r="336" s="13" customFormat="1" ht="13.5" thickBot="1"/>
    <row r="337" s="13" customFormat="1" ht="13.5" thickBot="1"/>
    <row r="338" s="13" customFormat="1" ht="13.5" thickBot="1"/>
    <row r="339" s="13" customFormat="1" ht="13.5" thickBot="1"/>
    <row r="340" s="13" customFormat="1" ht="13.5" thickBot="1"/>
    <row r="341" s="13" customFormat="1" ht="13.5" thickBot="1"/>
    <row r="342" s="13" customFormat="1" ht="13.5" thickBot="1"/>
    <row r="343" s="13" customFormat="1" ht="13.5" thickBot="1"/>
    <row r="344" s="13" customFormat="1" ht="13.5" thickBot="1"/>
    <row r="345" s="13" customFormat="1" ht="13.5" thickBot="1"/>
    <row r="346" s="13" customFormat="1" ht="13.5" thickBot="1"/>
    <row r="347" s="13" customFormat="1" ht="13.5" thickBot="1"/>
    <row r="348" s="13" customFormat="1" ht="13.5" thickBot="1"/>
    <row r="349" s="13" customFormat="1" ht="13.5" thickBot="1"/>
    <row r="350" s="13" customFormat="1" ht="13.5" thickBot="1"/>
    <row r="351" s="13" customFormat="1" ht="13.5" thickBot="1"/>
    <row r="352" s="13" customFormat="1" ht="13.5" thickBot="1"/>
    <row r="353" s="13" customFormat="1" ht="13.5" thickBot="1"/>
    <row r="354" s="13" customFormat="1" ht="13.5" thickBot="1"/>
    <row r="355" s="13" customFormat="1" ht="13.5" thickBot="1"/>
    <row r="356" s="13" customFormat="1" ht="13.5" thickBot="1"/>
    <row r="357" s="13" customFormat="1" ht="13.5" thickBot="1"/>
    <row r="358" s="13" customFormat="1" ht="13.5" thickBot="1"/>
    <row r="359" s="13" customFormat="1" ht="13.5" thickBot="1"/>
    <row r="360" s="13" customFormat="1" ht="13.5" thickBot="1"/>
    <row r="361" s="13" customFormat="1" ht="13.5" thickBot="1"/>
    <row r="362" s="13" customFormat="1" ht="13.5" thickBot="1"/>
    <row r="363" s="13" customFormat="1" ht="13.5" thickBot="1"/>
    <row r="364" s="13" customFormat="1" ht="13.5" thickBot="1"/>
    <row r="365" s="13" customFormat="1" ht="13.5" thickBot="1"/>
    <row r="366" s="13" customFormat="1" ht="13.5" thickBot="1"/>
    <row r="367" s="13" customFormat="1" ht="13.5" thickBot="1"/>
    <row r="368" s="13" customFormat="1" ht="13.5" thickBot="1"/>
    <row r="369" s="13" customFormat="1" ht="13.5" thickBot="1"/>
    <row r="370" s="13" customFormat="1" ht="13.5" thickBot="1"/>
    <row r="371" s="13" customFormat="1" ht="13.5" thickBot="1"/>
    <row r="372" s="13" customFormat="1" ht="13.5" thickBot="1"/>
    <row r="373" s="13" customFormat="1" ht="13.5" thickBot="1"/>
    <row r="374" s="13" customFormat="1" ht="13.5" thickBot="1"/>
    <row r="375" s="13" customFormat="1" ht="13.5" thickBot="1"/>
    <row r="376" s="13" customFormat="1" ht="13.5" thickBot="1"/>
    <row r="377" s="13" customFormat="1" ht="13.5" thickBot="1"/>
    <row r="378" s="13" customFormat="1" ht="13.5" thickBot="1"/>
    <row r="379" s="13" customFormat="1" ht="13.5" thickBot="1"/>
    <row r="380" s="13" customFormat="1" ht="13.5" thickBot="1"/>
    <row r="381" s="13" customFormat="1" ht="13.5" thickBot="1"/>
    <row r="382" s="13" customFormat="1" ht="13.5" thickBot="1"/>
    <row r="383" s="13" customFormat="1" ht="13.5" thickBot="1"/>
    <row r="384" s="13" customFormat="1" ht="13.5" thickBot="1"/>
    <row r="385" s="13" customFormat="1" ht="13.5" thickBot="1"/>
    <row r="386" s="13" customFormat="1" ht="13.5" thickBot="1"/>
    <row r="387" s="13" customFormat="1" ht="13.5" thickBot="1"/>
    <row r="388" s="13" customFormat="1" ht="13.5" thickBot="1"/>
    <row r="389" s="13" customFormat="1" ht="13.5" thickBot="1"/>
    <row r="390" s="13" customFormat="1" ht="13.5" thickBot="1"/>
    <row r="391" s="13" customFormat="1" ht="13.5" thickBot="1"/>
    <row r="392" s="13" customFormat="1" ht="13.5" thickBot="1"/>
    <row r="393" s="13" customFormat="1" ht="13.5" thickBot="1"/>
    <row r="394" s="13" customFormat="1" ht="13.5" thickBot="1"/>
    <row r="395" s="13" customFormat="1" ht="13.5" thickBot="1"/>
    <row r="396" s="13" customFormat="1" ht="13.5" thickBot="1"/>
    <row r="397" s="13" customFormat="1" ht="13.5" thickBot="1"/>
    <row r="398" s="13" customFormat="1" ht="13.5" thickBot="1"/>
    <row r="399" s="13" customFormat="1" ht="13.5" thickBot="1"/>
    <row r="400" s="13" customFormat="1" ht="13.5" thickBot="1"/>
    <row r="401" s="13" customFormat="1" ht="13.5" thickBot="1"/>
    <row r="402" s="13" customFormat="1" ht="13.5" thickBot="1"/>
    <row r="403" s="13" customFormat="1" ht="13.5" thickBot="1"/>
    <row r="404" s="13" customFormat="1" ht="13.5" thickBot="1"/>
    <row r="405" s="13" customFormat="1" ht="13.5" thickBot="1"/>
    <row r="406" s="13" customFormat="1" ht="13.5" thickBot="1"/>
    <row r="407" s="13" customFormat="1" ht="13.5" thickBot="1"/>
    <row r="408" s="13" customFormat="1" ht="13.5" thickBot="1"/>
    <row r="409" s="13" customFormat="1" ht="13.5" thickBot="1"/>
    <row r="410" s="13" customFormat="1" ht="13.5" thickBot="1"/>
    <row r="411" s="13" customFormat="1" ht="13.5" thickBot="1"/>
    <row r="412" s="13" customFormat="1" ht="13.5" thickBot="1"/>
    <row r="413" s="13" customFormat="1" ht="13.5" thickBot="1"/>
    <row r="414" s="13" customFormat="1" ht="13.5" thickBot="1"/>
    <row r="415" s="13" customFormat="1" ht="13.5" thickBot="1"/>
    <row r="416" s="13" customFormat="1" ht="13.5" thickBot="1"/>
    <row r="417" s="13" customFormat="1" ht="13.5" thickBot="1"/>
    <row r="418" s="13" customFormat="1" ht="13.5" thickBot="1"/>
    <row r="419" s="13" customFormat="1" ht="13.5" thickBot="1"/>
    <row r="420" s="13" customFormat="1" ht="13.5" thickBot="1"/>
    <row r="421" s="13" customFormat="1" ht="13.5" thickBot="1"/>
    <row r="422" s="13" customFormat="1" ht="13.5" thickBot="1"/>
    <row r="423" s="13" customFormat="1" ht="13.5" thickBot="1"/>
    <row r="424" s="13" customFormat="1" ht="13.5" thickBot="1"/>
    <row r="425" s="13" customFormat="1" ht="13.5" thickBot="1"/>
    <row r="426" s="13" customFormat="1" ht="13.5" thickBot="1"/>
    <row r="427" s="13" customFormat="1" ht="13.5" thickBot="1"/>
    <row r="428" s="13" customFormat="1" ht="13.5" thickBot="1"/>
    <row r="429" s="13" customFormat="1" ht="13.5" thickBot="1"/>
    <row r="430" s="13" customFormat="1" ht="13.5" thickBot="1"/>
    <row r="431" s="13" customFormat="1" ht="13.5" thickBot="1"/>
    <row r="432" s="13" customFormat="1" ht="13.5" thickBot="1"/>
    <row r="433" s="13" customFormat="1" ht="13.5" thickBot="1"/>
    <row r="434" s="13" customFormat="1" ht="13.5" thickBot="1"/>
    <row r="435" s="13" customFormat="1" ht="13.5" thickBot="1"/>
    <row r="436" s="13" customFormat="1" ht="13.5" thickBot="1"/>
    <row r="437" s="13" customFormat="1" ht="13.5" thickBot="1"/>
    <row r="438" s="13" customFormat="1" ht="13.5" thickBot="1"/>
    <row r="439" s="13" customFormat="1" ht="13.5" thickBot="1"/>
    <row r="440" s="13" customFormat="1" ht="13.5" thickBot="1"/>
    <row r="441" s="13" customFormat="1" ht="13.5" thickBot="1"/>
    <row r="442" s="13" customFormat="1" ht="13.5" thickBot="1"/>
    <row r="443" s="13" customFormat="1" ht="13.5" thickBot="1"/>
    <row r="444" s="13" customFormat="1" ht="13.5" thickBot="1"/>
    <row r="445" s="13" customFormat="1" ht="13.5" thickBot="1"/>
    <row r="446" s="13" customFormat="1" ht="13.5" thickBot="1"/>
    <row r="447" s="13" customFormat="1" ht="13.5" thickBot="1"/>
    <row r="448" s="13" customFormat="1" ht="13.5" thickBot="1"/>
    <row r="449" s="13" customFormat="1" ht="13.5" thickBot="1"/>
    <row r="450" s="13" customFormat="1" ht="13.5" thickBot="1"/>
    <row r="451" s="13" customFormat="1" ht="13.5" thickBot="1"/>
    <row r="452" s="13" customFormat="1" ht="13.5" thickBot="1"/>
    <row r="453" s="13" customFormat="1" ht="13.5" thickBot="1"/>
    <row r="454" s="13" customFormat="1" ht="13.5" thickBot="1"/>
    <row r="455" s="13" customFormat="1" ht="13.5" thickBot="1"/>
    <row r="456" s="13" customFormat="1" ht="13.5" thickBot="1"/>
    <row r="457" s="13" customFormat="1" ht="13.5" thickBot="1"/>
    <row r="458" s="13" customFormat="1" ht="13.5" thickBot="1"/>
    <row r="459" s="13" customFormat="1" ht="13.5" thickBot="1"/>
    <row r="460" s="13" customFormat="1" ht="13.5" thickBot="1"/>
    <row r="461" s="13" customFormat="1" ht="13.5" thickBot="1"/>
    <row r="462" s="13" customFormat="1" ht="13.5" thickBot="1"/>
    <row r="463" s="13" customFormat="1" ht="13.5" thickBot="1"/>
    <row r="464" s="13" customFormat="1" ht="13.5" thickBot="1"/>
    <row r="465" s="13" customFormat="1" ht="13.5" thickBot="1"/>
    <row r="466" s="13" customFormat="1" ht="13.5" thickBot="1"/>
    <row r="467" s="13" customFormat="1" ht="13.5" thickBot="1"/>
    <row r="468" s="13" customFormat="1" ht="13.5" thickBot="1"/>
    <row r="469" s="13" customFormat="1" ht="13.5" thickBot="1"/>
    <row r="470" s="13" customFormat="1" ht="13.5" thickBot="1"/>
    <row r="471" s="13" customFormat="1" ht="13.5" thickBot="1"/>
    <row r="472" s="13" customFormat="1" ht="13.5" thickBot="1"/>
    <row r="473" s="13" customFormat="1" ht="13.5" thickBot="1"/>
    <row r="474" s="13" customFormat="1" ht="13.5" thickBot="1"/>
    <row r="475" s="13" customFormat="1" ht="13.5" thickBot="1"/>
    <row r="476" s="13" customFormat="1" ht="13.5" thickBot="1"/>
    <row r="477" s="13" customFormat="1" ht="13.5" thickBot="1"/>
    <row r="478" s="13" customFormat="1" ht="13.5" thickBot="1"/>
    <row r="479" s="13" customFormat="1" ht="13.5" thickBot="1"/>
    <row r="480" s="13" customFormat="1" ht="13.5" thickBot="1"/>
    <row r="481" s="13" customFormat="1" ht="13.5" thickBot="1"/>
    <row r="482" s="13" customFormat="1" ht="13.5" thickBot="1"/>
    <row r="483" s="13" customFormat="1" ht="13.5" thickBot="1"/>
    <row r="484" s="13" customFormat="1" ht="13.5" thickBot="1"/>
    <row r="485" s="13" customFormat="1" ht="13.5" thickBot="1"/>
    <row r="486" s="13" customFormat="1" ht="13.5" thickBot="1"/>
    <row r="487" s="13" customFormat="1" ht="13.5" thickBot="1"/>
    <row r="488" s="13" customFormat="1" ht="13.5" thickBot="1"/>
    <row r="489" s="13" customFormat="1" ht="13.5" thickBot="1"/>
    <row r="490" s="13" customFormat="1" ht="13.5" thickBot="1"/>
    <row r="491" s="13" customFormat="1" ht="13.5" thickBot="1"/>
    <row r="492" s="13" customFormat="1" ht="13.5" thickBot="1"/>
    <row r="493" s="13" customFormat="1" ht="13.5" thickBot="1"/>
    <row r="494" s="13" customFormat="1" ht="13.5" thickBot="1"/>
    <row r="495" s="13" customFormat="1" ht="13.5" thickBot="1"/>
    <row r="496" s="13" customFormat="1" ht="13.5" thickBot="1"/>
    <row r="497" s="13" customFormat="1" ht="13.5" thickBot="1"/>
    <row r="498" s="13" customFormat="1" ht="13.5" thickBot="1"/>
    <row r="499" s="13" customFormat="1" ht="13.5" thickBot="1"/>
    <row r="500" s="13" customFormat="1" ht="13.5" thickBot="1"/>
    <row r="501" s="13" customFormat="1" ht="13.5" thickBot="1"/>
    <row r="502" s="13" customFormat="1" ht="13.5" thickBot="1"/>
    <row r="503" s="13" customFormat="1" ht="13.5" thickBot="1"/>
    <row r="504" s="13" customFormat="1" ht="13.5" thickBot="1"/>
    <row r="505" s="13" customFormat="1" ht="13.5" thickBot="1"/>
    <row r="506" s="13" customFormat="1" ht="13.5" thickBot="1"/>
    <row r="507" s="13" customFormat="1" ht="13.5" thickBot="1"/>
    <row r="508" s="13" customFormat="1" ht="13.5" thickBot="1"/>
    <row r="509" s="13" customFormat="1" ht="13.5" thickBot="1"/>
    <row r="510" s="13" customFormat="1" ht="13.5" thickBot="1"/>
    <row r="511" s="13" customFormat="1" ht="13.5" thickBot="1"/>
    <row r="512" s="13" customFormat="1" ht="13.5" thickBot="1"/>
    <row r="513" s="13" customFormat="1" ht="13.5" thickBot="1"/>
    <row r="514" s="13" customFormat="1" ht="13.5" thickBot="1"/>
    <row r="515" s="13" customFormat="1" ht="13.5" thickBot="1"/>
    <row r="516" s="13" customFormat="1" ht="13.5" thickBot="1"/>
    <row r="517" s="13" customFormat="1" ht="13.5" thickBot="1"/>
    <row r="518" s="13" customFormat="1" ht="13.5" thickBot="1"/>
    <row r="519" s="13" customFormat="1" ht="13.5" thickBot="1"/>
    <row r="520" s="13" customFormat="1" ht="13.5" thickBot="1"/>
    <row r="521" s="13" customFormat="1" ht="13.5" thickBot="1"/>
    <row r="522" s="13" customFormat="1" ht="13.5" thickBot="1"/>
    <row r="523" s="13" customFormat="1" ht="13.5" thickBot="1"/>
    <row r="524" s="13" customFormat="1" ht="13.5" thickBot="1"/>
    <row r="525" s="13" customFormat="1" ht="13.5" thickBot="1"/>
    <row r="526" s="13" customFormat="1" ht="13.5" thickBot="1"/>
    <row r="527" s="13" customFormat="1" ht="13.5" thickBot="1"/>
    <row r="528" s="13" customFormat="1" ht="13.5" thickBot="1"/>
    <row r="529" s="13" customFormat="1" ht="13.5" thickBot="1"/>
    <row r="530" s="13" customFormat="1" ht="13.5" thickBot="1"/>
    <row r="531" s="13" customFormat="1" ht="13.5" thickBot="1"/>
    <row r="532" s="13" customFormat="1" ht="13.5" thickBot="1"/>
    <row r="533" s="13" customFormat="1" ht="13.5" thickBot="1"/>
    <row r="534" s="13" customFormat="1" ht="13.5" thickBot="1"/>
    <row r="535" s="13" customFormat="1" ht="13.5" thickBot="1"/>
    <row r="536" s="13" customFormat="1" ht="13.5" thickBot="1"/>
    <row r="537" s="13" customFormat="1" ht="13.5" thickBot="1"/>
    <row r="538" s="13" customFormat="1" ht="13.5" thickBot="1"/>
    <row r="539" s="13" customFormat="1" ht="13.5" thickBot="1"/>
    <row r="540" s="13" customFormat="1" ht="13.5" thickBot="1"/>
    <row r="541" s="13" customFormat="1" ht="13.5" thickBot="1"/>
    <row r="542" s="13" customFormat="1" ht="13.5" thickBot="1"/>
    <row r="543" s="13" customFormat="1" ht="13.5" thickBot="1"/>
    <row r="544" s="13" customFormat="1" ht="13.5" thickBot="1"/>
    <row r="545" s="13" customFormat="1" ht="13.5" thickBot="1"/>
    <row r="546" s="13" customFormat="1" ht="13.5" thickBot="1"/>
    <row r="547" s="13" customFormat="1" ht="13.5" thickBot="1"/>
    <row r="548" s="13" customFormat="1" ht="13.5" thickBot="1"/>
    <row r="549" s="13" customFormat="1" ht="13.5" thickBot="1"/>
    <row r="550" s="13" customFormat="1" ht="13.5" thickBot="1"/>
    <row r="551" s="13" customFormat="1" ht="13.5" thickBot="1"/>
    <row r="552" s="13" customFormat="1" ht="13.5" thickBot="1"/>
    <row r="553" s="13" customFormat="1" ht="13.5" thickBot="1"/>
    <row r="554" s="13" customFormat="1" ht="13.5" thickBot="1"/>
    <row r="555" s="13" customFormat="1" ht="13.5" thickBot="1"/>
    <row r="556" s="13" customFormat="1" ht="13.5" thickBot="1"/>
    <row r="557" s="13" customFormat="1" ht="13.5" thickBot="1"/>
    <row r="558" s="13" customFormat="1" ht="13.5" thickBot="1"/>
    <row r="559" s="13" customFormat="1" ht="13.5" thickBot="1"/>
    <row r="560" s="13" customFormat="1" ht="13.5" thickBot="1"/>
    <row r="561" s="13" customFormat="1" ht="13.5" thickBot="1"/>
    <row r="562" s="13" customFormat="1" ht="13.5" thickBot="1"/>
    <row r="563" s="13" customFormat="1" ht="13.5" thickBot="1"/>
    <row r="564" s="13" customFormat="1" ht="13.5" thickBot="1"/>
    <row r="565" s="13" customFormat="1" ht="13.5" thickBot="1"/>
    <row r="566" s="13" customFormat="1" ht="13.5" thickBot="1"/>
    <row r="567" s="13" customFormat="1" ht="13.5" thickBot="1"/>
    <row r="568" s="13" customFormat="1" ht="13.5" thickBot="1"/>
    <row r="569" s="13" customFormat="1" ht="13.5" thickBot="1"/>
    <row r="570" s="13" customFormat="1" ht="13.5" thickBot="1"/>
    <row r="571" s="13" customFormat="1" ht="13.5" thickBot="1"/>
    <row r="572" s="13" customFormat="1" ht="13.5" thickBot="1"/>
    <row r="573" s="13" customFormat="1" ht="13.5" thickBot="1"/>
    <row r="574" s="13" customFormat="1" ht="13.5" thickBot="1"/>
    <row r="575" s="13" customFormat="1" ht="13.5" thickBot="1"/>
    <row r="576" s="13" customFormat="1" ht="13.5" thickBot="1"/>
    <row r="577" s="13" customFormat="1" ht="13.5" thickBot="1"/>
    <row r="578" s="13" customFormat="1" ht="13.5" thickBot="1"/>
    <row r="579" s="13" customFormat="1" ht="13.5" thickBot="1"/>
    <row r="580" s="13" customFormat="1" ht="13.5" thickBot="1"/>
    <row r="581" s="13" customFormat="1" ht="13.5" thickBot="1"/>
    <row r="582" s="13" customFormat="1" ht="13.5" thickBot="1"/>
    <row r="583" s="13" customFormat="1" ht="13.5" thickBot="1"/>
    <row r="584" s="13" customFormat="1" ht="13.5" thickBot="1"/>
    <row r="585" s="13" customFormat="1" ht="13.5" thickBot="1"/>
    <row r="586" s="13" customFormat="1" ht="13.5" thickBot="1"/>
    <row r="587" s="13" customFormat="1" ht="13.5" thickBot="1"/>
    <row r="588" s="13" customFormat="1" ht="13.5" thickBot="1"/>
    <row r="589" s="13" customFormat="1" ht="13.5" thickBot="1"/>
    <row r="590" s="13" customFormat="1" ht="13.5" thickBot="1"/>
    <row r="591" s="13" customFormat="1" ht="13.5" thickBot="1"/>
    <row r="592" s="13" customFormat="1" ht="13.5" thickBot="1"/>
    <row r="593" s="13" customFormat="1" ht="13.5" thickBot="1"/>
    <row r="594" s="13" customFormat="1" ht="13.5" thickBot="1"/>
    <row r="595" s="13" customFormat="1" ht="13.5" thickBot="1"/>
    <row r="596" s="13" customFormat="1" ht="13.5" thickBot="1"/>
    <row r="597" s="13" customFormat="1" ht="13.5" thickBot="1"/>
    <row r="598" s="13" customFormat="1" ht="13.5" thickBot="1"/>
    <row r="599" s="13" customFormat="1" ht="13.5" thickBot="1"/>
    <row r="600" s="13" customFormat="1" ht="13.5" thickBot="1"/>
    <row r="601" s="13" customFormat="1" ht="13.5" thickBot="1"/>
    <row r="602" s="13" customFormat="1" ht="13.5" thickBot="1"/>
    <row r="603" s="13" customFormat="1" ht="13.5" thickBot="1"/>
    <row r="604" s="13" customFormat="1" ht="13.5" thickBot="1"/>
    <row r="605" s="13" customFormat="1" ht="13.5" thickBot="1"/>
    <row r="606" s="13" customFormat="1" ht="13.5" thickBot="1"/>
    <row r="607" s="13" customFormat="1" ht="13.5" thickBot="1"/>
    <row r="608" s="13" customFormat="1" ht="13.5" thickBot="1"/>
    <row r="609" s="13" customFormat="1" ht="13.5" thickBot="1"/>
    <row r="610" s="13" customFormat="1" ht="13.5" thickBot="1"/>
    <row r="611" s="13" customFormat="1" ht="13.5" thickBot="1"/>
    <row r="612" s="13" customFormat="1" ht="13.5" thickBot="1"/>
    <row r="613" s="13" customFormat="1" ht="13.5" thickBot="1"/>
    <row r="614" s="13" customFormat="1" ht="13.5" thickBot="1"/>
    <row r="615" s="13" customFormat="1" ht="13.5" thickBot="1"/>
    <row r="616" s="13" customFormat="1" ht="13.5" thickBot="1"/>
    <row r="617" s="13" customFormat="1" ht="13.5" thickBot="1"/>
    <row r="618" s="13" customFormat="1" ht="13.5" thickBot="1"/>
    <row r="619" s="13" customFormat="1" ht="13.5" thickBot="1"/>
    <row r="620" s="13" customFormat="1" ht="13.5" thickBot="1"/>
    <row r="621" s="13" customFormat="1" ht="13.5" thickBot="1"/>
    <row r="622" s="13" customFormat="1" ht="13.5" thickBot="1"/>
    <row r="623" s="13" customFormat="1" ht="13.5" thickBot="1"/>
    <row r="624" s="13" customFormat="1" ht="13.5" thickBot="1"/>
    <row r="625" s="13" customFormat="1" ht="13.5" thickBot="1"/>
    <row r="626" s="13" customFormat="1" ht="13.5" thickBot="1"/>
    <row r="627" s="13" customFormat="1" ht="13.5" thickBot="1"/>
    <row r="628" s="13" customFormat="1" ht="13.5" thickBot="1"/>
    <row r="629" s="13" customFormat="1" ht="13.5" thickBot="1"/>
    <row r="630" s="13" customFormat="1" ht="13.5" thickBot="1"/>
    <row r="631" s="13" customFormat="1" ht="13.5" thickBot="1"/>
    <row r="632" s="13" customFormat="1" ht="13.5" thickBot="1"/>
    <row r="633" s="13" customFormat="1" ht="13.5" thickBot="1"/>
    <row r="634" s="13" customFormat="1" ht="13.5" thickBot="1"/>
    <row r="635" s="13" customFormat="1" ht="13.5" thickBot="1"/>
    <row r="636" s="13" customFormat="1" ht="13.5" thickBot="1"/>
    <row r="637" s="13" customFormat="1" ht="13.5" thickBot="1"/>
    <row r="638" s="13" customFormat="1" ht="13.5" thickBot="1"/>
    <row r="639" s="13" customFormat="1" ht="13.5" thickBot="1"/>
    <row r="640" s="13" customFormat="1" ht="13.5" thickBot="1"/>
    <row r="641" s="13" customFormat="1" ht="13.5" thickBot="1"/>
    <row r="642" s="13" customFormat="1" ht="13.5" thickBot="1"/>
    <row r="643" s="13" customFormat="1" ht="13.5" thickBot="1"/>
    <row r="644" s="13" customFormat="1" ht="13.5" thickBot="1"/>
    <row r="645" s="13" customFormat="1" ht="13.5" thickBot="1"/>
    <row r="646" s="13" customFormat="1" ht="13.5" thickBot="1"/>
    <row r="647" s="13" customFormat="1" ht="13.5" thickBot="1"/>
    <row r="648" s="13" customFormat="1" ht="13.5" thickBot="1"/>
    <row r="649" s="13" customFormat="1" ht="13.5" thickBot="1"/>
    <row r="650" s="13" customFormat="1" ht="13.5" thickBot="1"/>
    <row r="651" s="13" customFormat="1" ht="13.5" thickBot="1"/>
    <row r="652" s="13" customFormat="1" ht="13.5" thickBot="1"/>
    <row r="653" s="13" customFormat="1" ht="13.5" thickBot="1"/>
    <row r="654" s="13" customFormat="1" ht="13.5" thickBot="1"/>
    <row r="655" s="13" customFormat="1" ht="13.5" thickBot="1"/>
    <row r="656" s="13" customFormat="1" ht="13.5" thickBot="1"/>
    <row r="657" s="13" customFormat="1" ht="13.5" thickBot="1"/>
    <row r="658" s="13" customFormat="1" ht="13.5" thickBot="1"/>
    <row r="659" s="13" customFormat="1" ht="13.5" thickBot="1"/>
    <row r="660" s="13" customFormat="1" ht="13.5" thickBot="1"/>
    <row r="661" s="13" customFormat="1" ht="13.5" thickBot="1"/>
    <row r="662" s="13" customFormat="1" ht="13.5" thickBot="1"/>
    <row r="663" s="13" customFormat="1" ht="13.5" thickBot="1"/>
    <row r="664" s="13" customFormat="1" ht="13.5" thickBot="1"/>
    <row r="665" s="13" customFormat="1" ht="13.5" thickBot="1"/>
    <row r="666" s="13" customFormat="1" ht="13.5" thickBot="1"/>
    <row r="667" s="13" customFormat="1" ht="13.5" thickBot="1"/>
    <row r="668" s="13" customFormat="1" ht="13.5" thickBot="1"/>
    <row r="669" s="13" customFormat="1" ht="13.5" thickBot="1"/>
    <row r="670" s="13" customFormat="1" ht="13.5" thickBot="1"/>
    <row r="671" s="13" customFormat="1" ht="13.5" thickBot="1"/>
    <row r="672" s="13" customFormat="1" ht="13.5" thickBot="1"/>
    <row r="673" s="13" customFormat="1" ht="13.5" thickBot="1"/>
    <row r="674" s="13" customFormat="1" ht="13.5" thickBot="1"/>
    <row r="675" s="13" customFormat="1" ht="13.5" thickBot="1"/>
    <row r="676" s="13" customFormat="1" ht="13.5" thickBot="1"/>
    <row r="677" s="13" customFormat="1" ht="13.5" thickBot="1"/>
    <row r="678" s="13" customFormat="1" ht="13.5" thickBot="1"/>
    <row r="679" s="13" customFormat="1" ht="13.5" thickBot="1"/>
    <row r="680" s="13" customFormat="1" ht="13.5" thickBot="1"/>
    <row r="681" s="13" customFormat="1" ht="13.5" thickBot="1"/>
    <row r="682" s="13" customFormat="1" ht="13.5" thickBot="1"/>
    <row r="683" s="13" customFormat="1" ht="13.5" thickBot="1"/>
    <row r="684" s="13" customFormat="1" ht="13.5" thickBot="1"/>
    <row r="685" s="13" customFormat="1" ht="13.5" thickBot="1"/>
    <row r="686" s="13" customFormat="1" ht="13.5" thickBot="1"/>
    <row r="687" s="13" customFormat="1" ht="13.5" thickBot="1"/>
    <row r="688" s="13" customFormat="1" ht="13.5" thickBot="1"/>
    <row r="689" s="13" customFormat="1" ht="13.5" thickBot="1"/>
    <row r="690" s="13" customFormat="1" ht="13.5" thickBot="1"/>
    <row r="691" s="13" customFormat="1" ht="13.5" thickBot="1"/>
    <row r="692" s="13" customFormat="1" ht="13.5" thickBot="1"/>
    <row r="693" s="13" customFormat="1" ht="13.5" thickBot="1"/>
    <row r="694" s="13" customFormat="1" ht="13.5" thickBot="1"/>
    <row r="695" s="13" customFormat="1" ht="13.5" thickBot="1"/>
    <row r="696" s="13" customFormat="1" ht="13.5" thickBot="1"/>
    <row r="697" s="13" customFormat="1" ht="13.5" thickBot="1"/>
    <row r="698" s="13" customFormat="1" ht="13.5" thickBot="1"/>
    <row r="699" s="13" customFormat="1" ht="13.5" thickBot="1"/>
    <row r="700" s="13" customFormat="1" ht="13.5" thickBot="1"/>
    <row r="701" s="13" customFormat="1" ht="13.5" thickBot="1"/>
    <row r="702" s="13" customFormat="1" ht="13.5" thickBot="1"/>
    <row r="703" s="13" customFormat="1" ht="13.5" thickBot="1"/>
    <row r="704" s="13" customFormat="1" ht="13.5" thickBot="1"/>
    <row r="705" s="13" customFormat="1" ht="13.5" thickBot="1"/>
    <row r="706" s="13" customFormat="1" ht="13.5" thickBot="1"/>
    <row r="707" s="13" customFormat="1" ht="13.5" thickBot="1"/>
    <row r="708" s="13" customFormat="1" ht="13.5" thickBot="1"/>
    <row r="709" s="13" customFormat="1" ht="13.5" thickBot="1"/>
    <row r="710" s="13" customFormat="1" ht="13.5" thickBot="1"/>
    <row r="711" s="13" customFormat="1" ht="13.5" thickBot="1"/>
    <row r="712" s="13" customFormat="1" ht="13.5" thickBot="1"/>
    <row r="713" s="13" customFormat="1" ht="13.5" thickBot="1"/>
    <row r="714" s="13" customFormat="1" ht="13.5" thickBot="1"/>
    <row r="715" s="13" customFormat="1" ht="13.5" thickBot="1"/>
    <row r="716" s="13" customFormat="1" ht="13.5" thickBot="1"/>
    <row r="717" s="13" customFormat="1" ht="13.5" thickBot="1"/>
    <row r="718" s="13" customFormat="1" ht="13.5" thickBot="1"/>
    <row r="719" s="13" customFormat="1" ht="13.5" thickBot="1"/>
    <row r="720" s="13" customFormat="1" ht="13.5" thickBot="1"/>
    <row r="721" s="13" customFormat="1" ht="13.5" thickBot="1"/>
    <row r="722" s="13" customFormat="1" ht="13.5" thickBot="1"/>
    <row r="723" s="13" customFormat="1" ht="13.5" thickBot="1"/>
    <row r="724" s="13" customFormat="1" ht="13.5" thickBot="1"/>
    <row r="725" s="13" customFormat="1" ht="13.5" thickBot="1"/>
    <row r="726" s="13" customFormat="1" ht="13.5" thickBot="1"/>
    <row r="727" s="13" customFormat="1" ht="13.5" thickBot="1"/>
    <row r="728" s="13" customFormat="1" ht="13.5" thickBot="1"/>
    <row r="729" s="13" customFormat="1" ht="13.5" thickBot="1"/>
    <row r="730" s="13" customFormat="1" ht="13.5" thickBot="1"/>
    <row r="731" s="13" customFormat="1" ht="13.5" thickBot="1"/>
    <row r="732" s="13" customFormat="1" ht="13.5" thickBot="1"/>
    <row r="733" s="13" customFormat="1" ht="13.5" thickBot="1"/>
    <row r="734" s="13" customFormat="1" ht="13.5" thickBot="1"/>
    <row r="735" s="13" customFormat="1" ht="13.5" thickBot="1"/>
    <row r="736" s="13" customFormat="1" ht="13.5" thickBot="1"/>
    <row r="737" s="13" customFormat="1" ht="13.5" thickBot="1"/>
    <row r="738" s="13" customFormat="1" ht="13.5" thickBot="1"/>
    <row r="739" s="13" customFormat="1" ht="13.5" thickBot="1"/>
    <row r="740" s="13" customFormat="1" ht="13.5" thickBot="1"/>
    <row r="741" s="13" customFormat="1" ht="13.5" thickBot="1"/>
    <row r="742" s="13" customFormat="1" ht="13.5" thickBot="1"/>
    <row r="743" s="13" customFormat="1" ht="13.5" thickBot="1"/>
    <row r="744" s="13" customFormat="1" ht="13.5" thickBot="1"/>
    <row r="745" s="13" customFormat="1" ht="13.5" thickBot="1"/>
    <row r="746" s="13" customFormat="1" ht="13.5" thickBot="1"/>
    <row r="747" s="13" customFormat="1" ht="13.5" thickBot="1"/>
    <row r="748" s="13" customFormat="1" ht="13.5" thickBot="1"/>
    <row r="749" s="13" customFormat="1" ht="13.5" thickBot="1"/>
    <row r="750" s="13" customFormat="1" ht="13.5" thickBot="1"/>
    <row r="751" s="13" customFormat="1" ht="13.5" thickBot="1"/>
    <row r="752" s="13" customFormat="1" ht="13.5" thickBot="1"/>
    <row r="753" s="13" customFormat="1" ht="13.5" thickBot="1"/>
    <row r="754" s="13" customFormat="1" ht="13.5" thickBot="1"/>
    <row r="755" s="13" customFormat="1" ht="13.5" thickBot="1"/>
    <row r="756" s="13" customFormat="1" ht="13.5" thickBot="1"/>
    <row r="757" s="13" customFormat="1" ht="13.5" thickBot="1"/>
    <row r="758" s="13" customFormat="1" ht="13.5" thickBot="1"/>
    <row r="759" s="13" customFormat="1" ht="13.5" thickBot="1"/>
    <row r="760" s="13" customFormat="1" ht="13.5" thickBot="1"/>
    <row r="761" s="13" customFormat="1" ht="13.5" thickBot="1"/>
    <row r="762" s="13" customFormat="1" ht="13.5" thickBot="1"/>
    <row r="763" s="13" customFormat="1" ht="13.5" thickBot="1"/>
    <row r="764" s="13" customFormat="1" ht="13.5" thickBot="1"/>
    <row r="765" s="13" customFormat="1" ht="13.5" thickBot="1"/>
    <row r="766" s="13" customFormat="1" ht="13.5" thickBot="1"/>
    <row r="767" s="13" customFormat="1" ht="13.5" thickBot="1"/>
    <row r="768" s="13" customFormat="1" ht="13.5" thickBot="1"/>
    <row r="769" s="13" customFormat="1" ht="13.5" thickBot="1"/>
    <row r="770" s="13" customFormat="1" ht="13.5" thickBot="1"/>
    <row r="771" s="13" customFormat="1" ht="13.5" thickBot="1"/>
    <row r="772" s="13" customFormat="1" ht="13.5" thickBot="1"/>
    <row r="773" s="13" customFormat="1" ht="13.5" thickBot="1"/>
    <row r="774" s="13" customFormat="1" ht="13.5" thickBot="1"/>
    <row r="775" s="13" customFormat="1" ht="13.5" thickBot="1"/>
    <row r="776" s="13" customFormat="1" ht="13.5" thickBot="1"/>
    <row r="777" s="13" customFormat="1" ht="13.5" thickBot="1"/>
    <row r="778" s="13" customFormat="1" ht="13.5" thickBot="1"/>
    <row r="779" s="13" customFormat="1" ht="13.5" thickBot="1"/>
    <row r="780" s="13" customFormat="1" ht="13.5" thickBot="1"/>
    <row r="781" s="13" customFormat="1" ht="13.5" thickBot="1"/>
    <row r="782" s="13" customFormat="1" ht="13.5" thickBot="1"/>
    <row r="783" s="13" customFormat="1" ht="13.5" thickBot="1"/>
    <row r="784" s="13" customFormat="1" ht="13.5" thickBot="1"/>
    <row r="785" s="13" customFormat="1" ht="13.5" thickBot="1"/>
    <row r="786" s="13" customFormat="1" ht="13.5" thickBot="1"/>
    <row r="787" s="13" customFormat="1" ht="13.5" thickBot="1"/>
    <row r="788" s="13" customFormat="1" ht="13.5" thickBot="1"/>
    <row r="789" s="13" customFormat="1" ht="13.5" thickBot="1"/>
    <row r="790" s="13" customFormat="1" ht="13.5" thickBot="1"/>
    <row r="791" s="13" customFormat="1" ht="13.5" thickBot="1"/>
    <row r="792" s="13" customFormat="1" ht="13.5" thickBot="1"/>
    <row r="793" s="13" customFormat="1" ht="13.5" thickBot="1"/>
    <row r="794" s="13" customFormat="1" ht="13.5" thickBot="1"/>
    <row r="795" s="13" customFormat="1" ht="13.5" thickBot="1"/>
    <row r="796" s="13" customFormat="1" ht="13.5" thickBot="1"/>
    <row r="797" s="13" customFormat="1" ht="13.5" thickBot="1"/>
    <row r="798" s="13" customFormat="1" ht="13.5" thickBot="1"/>
    <row r="799" s="13" customFormat="1" ht="13.5" thickBot="1"/>
    <row r="800" s="13" customFormat="1" ht="13.5" thickBot="1"/>
    <row r="801" s="13" customFormat="1" ht="13.5" thickBot="1"/>
    <row r="802" s="13" customFormat="1" ht="13.5" thickBot="1"/>
    <row r="803" s="13" customFormat="1" ht="13.5" thickBot="1"/>
    <row r="804" s="13" customFormat="1" ht="13.5" thickBot="1"/>
    <row r="805" s="13" customFormat="1" ht="13.5" thickBot="1"/>
    <row r="806" s="13" customFormat="1" ht="13.5" thickBot="1"/>
    <row r="807" s="13" customFormat="1" ht="13.5" thickBot="1"/>
    <row r="808" s="13" customFormat="1" ht="13.5" thickBot="1"/>
    <row r="809" s="13" customFormat="1" ht="13.5" thickBot="1"/>
    <row r="810" s="13" customFormat="1" ht="13.5" thickBot="1"/>
    <row r="811" s="13" customFormat="1" ht="13.5" thickBot="1"/>
    <row r="812" s="13" customFormat="1" ht="13.5" thickBot="1"/>
    <row r="813" s="13" customFormat="1" ht="13.5" thickBot="1"/>
    <row r="814" s="13" customFormat="1" ht="13.5" thickBot="1"/>
    <row r="815" s="13" customFormat="1" ht="13.5" thickBot="1"/>
    <row r="816" s="13" customFormat="1" ht="13.5" thickBot="1"/>
    <row r="817" s="13" customFormat="1" ht="13.5" thickBot="1"/>
    <row r="818" s="13" customFormat="1" ht="13.5" thickBot="1"/>
    <row r="819" s="13" customFormat="1" ht="13.5" thickBot="1"/>
    <row r="820" s="13" customFormat="1" ht="13.5" thickBot="1"/>
    <row r="821" s="13" customFormat="1" ht="13.5" thickBot="1"/>
    <row r="822" s="13" customFormat="1" ht="13.5" thickBot="1"/>
    <row r="823" s="13" customFormat="1" ht="13.5" thickBot="1"/>
    <row r="824" s="13" customFormat="1" ht="13.5" thickBot="1"/>
    <row r="825" s="13" customFormat="1" ht="13.5" thickBot="1"/>
    <row r="826" s="13" customFormat="1" ht="13.5" thickBot="1"/>
    <row r="827" s="13" customFormat="1" ht="13.5" thickBot="1"/>
    <row r="828" s="13" customFormat="1" ht="13.5" thickBot="1"/>
    <row r="829" s="13" customFormat="1" ht="13.5" thickBot="1"/>
    <row r="830" s="13" customFormat="1" ht="13.5" thickBot="1"/>
    <row r="831" s="13" customFormat="1" ht="13.5" thickBot="1"/>
    <row r="832" s="13" customFormat="1" ht="13.5" thickBot="1"/>
    <row r="833" s="13" customFormat="1" ht="13.5" thickBot="1"/>
    <row r="834" s="13" customFormat="1" ht="13.5" thickBot="1"/>
    <row r="835" s="13" customFormat="1" ht="13.5" thickBot="1"/>
    <row r="836" s="13" customFormat="1" ht="13.5" thickBot="1"/>
    <row r="837" s="13" customFormat="1" ht="13.5" thickBot="1"/>
    <row r="838" s="13" customFormat="1" ht="13.5" thickBot="1"/>
    <row r="839" s="13" customFormat="1" ht="13.5" thickBot="1"/>
    <row r="840" s="13" customFormat="1" ht="13.5" thickBot="1"/>
    <row r="841" s="13" customFormat="1" ht="13.5" thickBot="1"/>
    <row r="842" s="13" customFormat="1" ht="13.5" thickBot="1"/>
    <row r="843" s="13" customFormat="1" ht="13.5" thickBot="1"/>
    <row r="844" s="13" customFormat="1" ht="13.5" thickBot="1"/>
    <row r="845" s="13" customFormat="1" ht="13.5" thickBot="1"/>
    <row r="846" s="13" customFormat="1" ht="13.5" thickBot="1"/>
    <row r="847" s="13" customFormat="1" ht="13.5" thickBot="1"/>
    <row r="848" s="13" customFormat="1" ht="13.5" thickBot="1"/>
    <row r="849" s="13" customFormat="1" ht="13.5" thickBot="1"/>
    <row r="850" s="13" customFormat="1" ht="13.5" thickBot="1"/>
    <row r="851" s="13" customFormat="1" ht="13.5" thickBot="1"/>
    <row r="852" s="13" customFormat="1" ht="13.5" thickBot="1"/>
    <row r="853" s="13" customFormat="1" ht="13.5" thickBot="1"/>
    <row r="854" s="13" customFormat="1" ht="13.5" thickBot="1"/>
    <row r="855" s="13" customFormat="1" ht="13.5" thickBot="1"/>
    <row r="856" s="13" customFormat="1" ht="13.5" thickBot="1"/>
    <row r="857" s="13" customFormat="1" ht="13.5" thickBot="1"/>
    <row r="858" s="13" customFormat="1" ht="13.5" thickBot="1"/>
    <row r="859" s="13" customFormat="1" ht="13.5" thickBot="1"/>
    <row r="860" s="13" customFormat="1" ht="13.5" thickBot="1"/>
    <row r="861" s="13" customFormat="1" ht="13.5" thickBot="1"/>
    <row r="862" s="13" customFormat="1" ht="13.5" thickBot="1"/>
    <row r="863" s="13" customFormat="1" ht="13.5" thickBot="1"/>
    <row r="864" s="13" customFormat="1" ht="13.5" thickBot="1"/>
    <row r="865" s="13" customFormat="1" ht="13.5" thickBot="1"/>
    <row r="866" s="13" customFormat="1" ht="13.5" thickBot="1"/>
    <row r="867" s="13" customFormat="1" ht="13.5" thickBot="1"/>
    <row r="868" s="13" customFormat="1" ht="13.5" thickBot="1"/>
    <row r="869" s="13" customFormat="1" ht="13.5" thickBot="1"/>
    <row r="870" s="13" customFormat="1" ht="13.5" thickBot="1"/>
    <row r="871" s="13" customFormat="1" ht="13.5" thickBot="1"/>
    <row r="872" s="13" customFormat="1" ht="13.5" thickBot="1"/>
    <row r="873" s="13" customFormat="1" ht="13.5" thickBot="1"/>
    <row r="874" s="13" customFormat="1" ht="13.5" thickBot="1"/>
    <row r="875" s="13" customFormat="1" ht="13.5" thickBot="1"/>
    <row r="876" s="13" customFormat="1" ht="13.5" thickBot="1"/>
    <row r="877" s="13" customFormat="1" ht="13.5" thickBot="1"/>
    <row r="878" s="13" customFormat="1" ht="13.5" thickBot="1"/>
    <row r="879" s="13" customFormat="1" ht="13.5" thickBot="1"/>
    <row r="880" s="13" customFormat="1" ht="13.5" thickBot="1"/>
    <row r="881" s="13" customFormat="1" ht="13.5" thickBot="1"/>
    <row r="882" s="13" customFormat="1" ht="13.5" thickBot="1"/>
    <row r="883" s="13" customFormat="1" ht="13.5" thickBot="1"/>
    <row r="884" s="13" customFormat="1" ht="13.5" thickBot="1"/>
    <row r="885" s="13" customFormat="1" ht="13.5" thickBot="1"/>
    <row r="886" s="13" customFormat="1" ht="13.5" thickBot="1"/>
    <row r="887" s="13" customFormat="1" ht="13.5" thickBot="1"/>
    <row r="888" s="13" customFormat="1" ht="13.5" thickBot="1"/>
    <row r="889" s="13" customFormat="1" ht="13.5" thickBot="1"/>
    <row r="890" s="13" customFormat="1" ht="13.5" thickBot="1"/>
    <row r="891" s="13" customFormat="1" ht="13.5" thickBot="1"/>
    <row r="892" s="13" customFormat="1" ht="13.5" thickBot="1"/>
    <row r="893" s="13" customFormat="1" ht="13.5" thickBot="1"/>
    <row r="894" s="13" customFormat="1" ht="13.5" thickBot="1"/>
    <row r="895" s="13" customFormat="1" ht="13.5" thickBot="1"/>
    <row r="896" s="13" customFormat="1" ht="13.5" thickBot="1"/>
    <row r="897" s="13" customFormat="1" ht="13.5" thickBot="1"/>
    <row r="898" s="13" customFormat="1" ht="13.5" thickBot="1"/>
    <row r="899" s="13" customFormat="1" ht="13.5" thickBot="1"/>
    <row r="900" s="13" customFormat="1" ht="13.5" thickBot="1"/>
    <row r="901" s="13" customFormat="1" ht="13.5" thickBot="1"/>
    <row r="902" s="13" customFormat="1" ht="13.5" thickBot="1"/>
    <row r="903" s="13" customFormat="1" ht="13.5" thickBot="1"/>
    <row r="904" s="13" customFormat="1" ht="13.5" thickBot="1"/>
    <row r="905" s="13" customFormat="1" ht="13.5" thickBot="1"/>
    <row r="906" s="13" customFormat="1" ht="13.5" thickBot="1"/>
    <row r="907" s="13" customFormat="1" ht="13.5" thickBot="1"/>
    <row r="908" s="13" customFormat="1" ht="13.5" thickBot="1"/>
    <row r="909" s="13" customFormat="1" ht="13.5" thickBot="1"/>
    <row r="910" s="13" customFormat="1" ht="13.5" thickBot="1"/>
    <row r="911" s="13" customFormat="1" ht="13.5" thickBot="1"/>
    <row r="912" s="13" customFormat="1" ht="13.5" thickBot="1"/>
    <row r="913" s="13" customFormat="1" ht="13.5" thickBot="1"/>
    <row r="914" s="13" customFormat="1" ht="13.5" thickBot="1"/>
    <row r="915" s="13" customFormat="1" ht="13.5" thickBot="1"/>
    <row r="916" s="13" customFormat="1" ht="13.5" thickBot="1"/>
    <row r="917" s="13" customFormat="1" ht="13.5" thickBot="1"/>
    <row r="918" s="13" customFormat="1" ht="13.5" thickBot="1"/>
    <row r="919" s="13" customFormat="1" ht="13.5" thickBot="1"/>
    <row r="920" s="13" customFormat="1" ht="13.5" thickBot="1"/>
    <row r="921" s="13" customFormat="1" ht="13.5" thickBot="1"/>
    <row r="922" s="13" customFormat="1" ht="13.5" thickBot="1"/>
    <row r="923" s="13" customFormat="1" ht="13.5" thickBot="1"/>
    <row r="924" s="13" customFormat="1" ht="13.5" thickBot="1"/>
    <row r="925" s="13" customFormat="1" ht="13.5" thickBot="1"/>
    <row r="926" s="13" customFormat="1" ht="13.5" thickBot="1"/>
    <row r="927" s="13" customFormat="1" ht="13.5" thickBot="1"/>
    <row r="928" s="13" customFormat="1" ht="13.5" thickBot="1"/>
    <row r="929" s="13" customFormat="1" ht="13.5" thickBot="1"/>
    <row r="930" s="13" customFormat="1" ht="13.5" thickBot="1"/>
    <row r="931" s="13" customFormat="1" ht="13.5" thickBot="1"/>
    <row r="932" s="13" customFormat="1" ht="13.5" thickBot="1"/>
    <row r="933" s="13" customFormat="1" ht="13.5" thickBot="1"/>
    <row r="934" s="13" customFormat="1" ht="13.5" thickBot="1"/>
    <row r="935" s="13" customFormat="1" ht="13.5" thickBot="1"/>
    <row r="936" s="13" customFormat="1" ht="13.5" thickBot="1"/>
    <row r="937" s="13" customFormat="1" ht="13.5" thickBot="1"/>
    <row r="938" s="13" customFormat="1" ht="13.5" thickBot="1"/>
    <row r="939" s="13" customFormat="1" ht="13.5" thickBot="1"/>
    <row r="940" s="13" customFormat="1" ht="13.5" thickBot="1"/>
    <row r="941" s="13" customFormat="1" ht="13.5" thickBot="1"/>
    <row r="942" s="13" customFormat="1" ht="13.5" thickBot="1"/>
    <row r="943" s="13" customFormat="1" ht="13.5" thickBot="1"/>
    <row r="944" s="13" customFormat="1" ht="13.5" thickBot="1"/>
    <row r="945" s="13" customFormat="1" ht="13.5" thickBot="1"/>
    <row r="946" s="13" customFormat="1" ht="13.5" thickBot="1"/>
    <row r="947" s="13" customFormat="1" ht="13.5" thickBot="1"/>
    <row r="948" s="13" customFormat="1" ht="13.5" thickBot="1"/>
    <row r="949" s="13" customFormat="1" ht="13.5" thickBot="1"/>
    <row r="950" s="13" customFormat="1" ht="13.5" thickBot="1"/>
    <row r="951" s="13" customFormat="1" ht="13.5" thickBot="1"/>
    <row r="952" s="13" customFormat="1" ht="13.5" thickBot="1"/>
    <row r="953" s="13" customFormat="1" ht="13.5" thickBot="1"/>
    <row r="954" s="13" customFormat="1" ht="13.5" thickBot="1"/>
    <row r="955" s="13" customFormat="1" ht="13.5" thickBot="1"/>
    <row r="956" s="13" customFormat="1" ht="13.5" thickBot="1"/>
    <row r="957" s="13" customFormat="1" ht="13.5" thickBot="1"/>
    <row r="958" s="13" customFormat="1" ht="13.5" thickBot="1"/>
    <row r="959" s="13" customFormat="1" ht="13.5" thickBot="1"/>
    <row r="960" s="13" customFormat="1" ht="13.5" thickBot="1"/>
    <row r="961" s="13" customFormat="1" ht="13.5" thickBot="1"/>
    <row r="962" s="13" customFormat="1" ht="13.5" thickBot="1"/>
    <row r="963" s="13" customFormat="1" ht="13.5" thickBot="1"/>
    <row r="964" s="13" customFormat="1" ht="13.5" thickBot="1"/>
    <row r="965" s="13" customFormat="1" ht="13.5" thickBot="1"/>
    <row r="966" s="13" customFormat="1" ht="13.5" thickBot="1"/>
    <row r="967" s="13" customFormat="1" ht="13.5" thickBot="1"/>
    <row r="968" s="13" customFormat="1" ht="13.5" thickBot="1"/>
    <row r="969" s="13" customFormat="1" ht="13.5" thickBot="1"/>
    <row r="970" s="13" customFormat="1" ht="13.5" thickBot="1"/>
    <row r="971" s="13" customFormat="1" ht="13.5" thickBot="1"/>
    <row r="972" s="13" customFormat="1" ht="13.5" thickBot="1"/>
    <row r="973" s="13" customFormat="1" ht="13.5" thickBot="1"/>
    <row r="974" s="13" customFormat="1" ht="13.5" thickBot="1"/>
    <row r="975" s="13" customFormat="1" ht="13.5" thickBot="1"/>
    <row r="976" s="13" customFormat="1" ht="13.5" thickBot="1"/>
    <row r="977" s="13" customFormat="1" ht="13.5" thickBot="1"/>
    <row r="978" s="13" customFormat="1" ht="13.5" thickBot="1"/>
    <row r="979" s="13" customFormat="1" ht="13.5" thickBot="1"/>
    <row r="980" s="13" customFormat="1" ht="13.5" thickBot="1"/>
    <row r="981" s="13" customFormat="1" ht="13.5" thickBot="1"/>
    <row r="982" s="13" customFormat="1" ht="13.5" thickBot="1"/>
    <row r="983" s="13" customFormat="1" ht="13.5" thickBot="1"/>
    <row r="984" s="13" customFormat="1" ht="13.5" thickBot="1"/>
  </sheetData>
  <sheetProtection algorithmName="SHA-512" hashValue="wI7Sxjizs+m6LuI7sP7zfzzf+KpQuCW34lvyvd5VD6b5oFtKj76qAlWWNHI9UvT4oGu2kU2LvLhPNiGx6HpCnA==" saltValue="EnnOl3DrKD2LK846LMQyBA==" spinCount="100000" sheet="1" formatCells="0"/>
  <mergeCells count="5">
    <mergeCell ref="B26:J26"/>
    <mergeCell ref="B38:J38"/>
    <mergeCell ref="B28:J28"/>
    <mergeCell ref="C30:G30"/>
    <mergeCell ref="B2:J2"/>
  </mergeCells>
  <dataValidations count="1">
    <dataValidation type="custom" allowBlank="1" showInputMessage="1" showErrorMessage="1" sqref="C5:C13 G5:G16 C17:C23 B40 E40" xr:uid="{9AC58766-1EB6-4FCE-A3FB-EA7094A333B0}">
      <formula1>ISNUMBER(B5)</formula1>
    </dataValidation>
  </dataValidations>
  <pageMargins left="0.7" right="0.7" top="0.75" bottom="0.75" header="0.3" footer="0.3"/>
  <pageSetup scale="42"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F9C48-93BF-4CB6-ACE9-3E8DBAF255D5}">
  <sheetPr codeName="Sheet4">
    <tabColor rgb="FFFFC000"/>
  </sheetPr>
  <dimension ref="A2:AB184"/>
  <sheetViews>
    <sheetView showGridLines="0" zoomScale="90" zoomScaleNormal="90" zoomScaleSheetLayoutView="40" workbookViewId="0">
      <selection activeCell="A3" sqref="A3"/>
    </sheetView>
  </sheetViews>
  <sheetFormatPr defaultColWidth="8.453125" defaultRowHeight="28.5" customHeight="1"/>
  <cols>
    <col min="1" max="1" width="5.453125" style="496" customWidth="1"/>
    <col min="2" max="2" width="7.453125" style="496" customWidth="1"/>
    <col min="3" max="3" width="12.1796875" style="496" customWidth="1"/>
    <col min="4" max="4" width="24.36328125" style="497" customWidth="1"/>
    <col min="5" max="5" width="14.36328125" style="497" customWidth="1"/>
    <col min="6" max="6" width="8.81640625" style="496" customWidth="1"/>
    <col min="7" max="7" width="11.81640625" style="496" customWidth="1"/>
    <col min="8" max="8" width="13.81640625" style="499" customWidth="1"/>
    <col min="9" max="9" width="11.453125" style="499" customWidth="1"/>
    <col min="10" max="11" width="13.36328125" style="496" customWidth="1"/>
    <col min="12" max="12" width="19.1796875" style="496" customWidth="1"/>
    <col min="13" max="13" width="19" style="496" customWidth="1"/>
    <col min="14" max="14" width="12.6328125" style="496" customWidth="1"/>
    <col min="15" max="15" width="11.1796875" style="496" bestFit="1" customWidth="1"/>
    <col min="16" max="16" width="16.453125" style="496" customWidth="1"/>
    <col min="17" max="20" width="8.453125" style="496"/>
    <col min="21" max="21" width="13.453125" style="496" bestFit="1" customWidth="1"/>
    <col min="22" max="16384" width="8.453125" style="496"/>
  </cols>
  <sheetData>
    <row r="2" spans="1:28" ht="40" customHeight="1">
      <c r="B2" s="644" t="s">
        <v>713</v>
      </c>
      <c r="C2" s="644"/>
      <c r="D2" s="644"/>
      <c r="E2" s="644"/>
      <c r="F2" s="644"/>
      <c r="G2" s="644"/>
      <c r="H2" s="644"/>
      <c r="I2" s="644"/>
      <c r="J2" s="644"/>
      <c r="K2" s="644"/>
      <c r="L2" s="644"/>
      <c r="M2" s="644"/>
      <c r="N2" s="644"/>
    </row>
    <row r="3" spans="1:28" ht="28.5" customHeight="1" thickBot="1"/>
    <row r="4" spans="1:28" ht="30" customHeight="1" thickBot="1">
      <c r="A4" s="502"/>
      <c r="B4" s="646" t="s">
        <v>715</v>
      </c>
      <c r="C4" s="646"/>
      <c r="D4" s="646"/>
      <c r="E4" s="646"/>
      <c r="F4" s="646"/>
      <c r="G4" s="646"/>
      <c r="H4" s="646"/>
      <c r="I4" s="646"/>
      <c r="J4" s="646"/>
      <c r="K4" s="646"/>
      <c r="L4" s="646"/>
      <c r="M4" s="646"/>
      <c r="N4" s="646"/>
      <c r="O4" s="527"/>
      <c r="P4" s="527"/>
      <c r="Q4" s="527"/>
      <c r="R4" s="527"/>
      <c r="S4" s="521"/>
      <c r="T4" s="475"/>
      <c r="U4" s="475"/>
      <c r="V4" s="475"/>
      <c r="W4" s="475"/>
      <c r="X4" s="475"/>
      <c r="Y4" s="475"/>
      <c r="Z4" s="475"/>
      <c r="AA4" s="475"/>
      <c r="AB4" s="475"/>
    </row>
    <row r="5" spans="1:28" ht="28.5" customHeight="1" thickBot="1">
      <c r="A5" s="502"/>
      <c r="B5" s="502"/>
      <c r="C5" s="502"/>
      <c r="D5" s="502"/>
      <c r="E5" s="502"/>
      <c r="F5" s="502"/>
      <c r="G5" s="502"/>
      <c r="H5" s="502"/>
      <c r="I5" s="502"/>
      <c r="J5" s="502"/>
      <c r="K5" s="502"/>
      <c r="L5" s="502"/>
      <c r="M5" s="502"/>
      <c r="N5" s="502"/>
      <c r="O5" s="502"/>
      <c r="P5" s="501"/>
      <c r="Q5" s="501"/>
      <c r="R5" s="501"/>
      <c r="S5" s="521"/>
      <c r="T5" s="475"/>
      <c r="U5" s="475"/>
      <c r="V5" s="475"/>
      <c r="W5" s="475"/>
      <c r="X5" s="475"/>
      <c r="Y5" s="475"/>
      <c r="Z5" s="475"/>
      <c r="AA5" s="475"/>
      <c r="AB5" s="475"/>
    </row>
    <row r="6" spans="1:28" ht="28.5" customHeight="1" thickBot="1">
      <c r="A6" s="502"/>
      <c r="B6" s="636" t="s">
        <v>709</v>
      </c>
      <c r="C6" s="636"/>
      <c r="D6" s="636"/>
      <c r="E6" s="636"/>
      <c r="G6" s="636" t="s">
        <v>101</v>
      </c>
      <c r="H6" s="636"/>
      <c r="I6" s="636"/>
      <c r="J6" s="636"/>
      <c r="L6" s="636" t="s">
        <v>714</v>
      </c>
      <c r="M6" s="636"/>
      <c r="N6" s="636"/>
      <c r="O6" s="525"/>
      <c r="T6" s="475"/>
      <c r="U6" s="475"/>
      <c r="V6" s="475"/>
      <c r="W6" s="475"/>
      <c r="X6" s="475"/>
      <c r="Y6" s="475"/>
      <c r="Z6" s="475"/>
      <c r="AA6" s="475"/>
      <c r="AB6" s="475"/>
    </row>
    <row r="7" spans="1:28" ht="28.5" customHeight="1" thickBot="1">
      <c r="A7" s="502"/>
      <c r="B7" s="551" t="s">
        <v>183</v>
      </c>
      <c r="C7" s="552" t="s">
        <v>184</v>
      </c>
      <c r="D7" s="650" t="s">
        <v>80</v>
      </c>
      <c r="E7" s="651"/>
      <c r="F7" s="553"/>
      <c r="G7" s="551" t="s">
        <v>185</v>
      </c>
      <c r="H7" s="552" t="s">
        <v>184</v>
      </c>
      <c r="I7" s="569" t="s">
        <v>80</v>
      </c>
      <c r="J7" s="551"/>
      <c r="K7" s="553"/>
      <c r="L7" s="551" t="s">
        <v>703</v>
      </c>
      <c r="M7" s="552" t="s">
        <v>650</v>
      </c>
      <c r="N7" s="551" t="s">
        <v>76</v>
      </c>
      <c r="O7" s="525"/>
      <c r="T7" s="475"/>
      <c r="U7" s="475"/>
      <c r="V7" s="475"/>
      <c r="W7" s="475"/>
      <c r="X7" s="475"/>
      <c r="Y7" s="475"/>
      <c r="Z7" s="475"/>
      <c r="AA7" s="475"/>
      <c r="AB7" s="475"/>
    </row>
    <row r="8" spans="1:28" ht="25" customHeight="1" thickBot="1">
      <c r="A8" s="502"/>
      <c r="B8" s="535">
        <v>6</v>
      </c>
      <c r="C8" s="562">
        <v>1710</v>
      </c>
      <c r="D8" s="647" t="s">
        <v>95</v>
      </c>
      <c r="E8" s="648"/>
      <c r="G8" s="535" t="s">
        <v>186</v>
      </c>
      <c r="H8" s="562">
        <v>85000</v>
      </c>
      <c r="I8" s="647" t="s">
        <v>88</v>
      </c>
      <c r="J8" s="648"/>
      <c r="L8" s="533" t="s">
        <v>81</v>
      </c>
      <c r="M8" s="547" t="s">
        <v>62</v>
      </c>
      <c r="N8" s="564">
        <v>35000</v>
      </c>
      <c r="O8" s="525"/>
      <c r="T8" s="475"/>
      <c r="U8" s="475"/>
      <c r="V8" s="475"/>
      <c r="W8" s="475"/>
      <c r="X8" s="475"/>
      <c r="AA8" s="475"/>
      <c r="AB8" s="475"/>
    </row>
    <row r="9" spans="1:28" ht="25" customHeight="1" thickBot="1">
      <c r="A9" s="502"/>
      <c r="B9" s="530">
        <v>10</v>
      </c>
      <c r="C9" s="563">
        <v>1710</v>
      </c>
      <c r="D9" s="647" t="s">
        <v>95</v>
      </c>
      <c r="E9" s="648"/>
      <c r="G9" s="535" t="s">
        <v>187</v>
      </c>
      <c r="H9" s="562">
        <v>5500</v>
      </c>
      <c r="I9" s="647" t="s">
        <v>88</v>
      </c>
      <c r="J9" s="648"/>
      <c r="L9" s="536" t="s">
        <v>704</v>
      </c>
      <c r="M9" s="76" t="s">
        <v>62</v>
      </c>
      <c r="N9" s="565">
        <v>9000</v>
      </c>
      <c r="O9" s="525"/>
      <c r="T9" s="475"/>
      <c r="U9" s="475"/>
      <c r="V9" s="475"/>
      <c r="W9" s="475"/>
      <c r="X9" s="475"/>
      <c r="AA9" s="475"/>
      <c r="AB9" s="475"/>
    </row>
    <row r="10" spans="1:28" ht="29" customHeight="1" thickBot="1">
      <c r="A10" s="502"/>
      <c r="B10" s="535">
        <v>16</v>
      </c>
      <c r="C10" s="562">
        <v>1710</v>
      </c>
      <c r="D10" s="647" t="s">
        <v>95</v>
      </c>
      <c r="E10" s="648"/>
      <c r="G10" s="530" t="s">
        <v>188</v>
      </c>
      <c r="H10" s="563">
        <v>1082</v>
      </c>
      <c r="I10" s="647" t="s">
        <v>95</v>
      </c>
      <c r="J10" s="648"/>
      <c r="L10" s="534" t="s">
        <v>705</v>
      </c>
      <c r="M10" s="548" t="s">
        <v>85</v>
      </c>
      <c r="N10" s="566">
        <v>65000</v>
      </c>
      <c r="O10" s="525"/>
      <c r="T10" s="475"/>
      <c r="U10" s="475"/>
      <c r="V10" s="475"/>
      <c r="W10" s="475"/>
      <c r="X10" s="475"/>
      <c r="AA10" s="475"/>
      <c r="AB10" s="475"/>
    </row>
    <row r="11" spans="1:28" ht="25" customHeight="1" thickBot="1">
      <c r="A11" s="502"/>
      <c r="B11" s="530">
        <v>32</v>
      </c>
      <c r="C11" s="563">
        <v>6386</v>
      </c>
      <c r="D11" s="647" t="s">
        <v>95</v>
      </c>
      <c r="E11" s="648"/>
      <c r="G11" s="525"/>
      <c r="H11" s="525"/>
      <c r="I11" s="526"/>
      <c r="L11" s="536" t="s">
        <v>707</v>
      </c>
      <c r="M11" s="76" t="s">
        <v>85</v>
      </c>
      <c r="N11" s="565">
        <v>31000</v>
      </c>
      <c r="O11" s="525"/>
      <c r="T11" s="475"/>
      <c r="U11" s="475"/>
      <c r="V11" s="475"/>
      <c r="W11" s="475"/>
      <c r="X11" s="475"/>
      <c r="AA11" s="475"/>
      <c r="AB11" s="475"/>
    </row>
    <row r="12" spans="1:28" ht="25" customHeight="1" thickBot="1">
      <c r="A12" s="502"/>
      <c r="B12" s="535">
        <v>63</v>
      </c>
      <c r="C12" s="562">
        <v>6386</v>
      </c>
      <c r="D12" s="647" t="s">
        <v>95</v>
      </c>
      <c r="E12" s="648"/>
      <c r="G12" s="525"/>
      <c r="H12" s="525"/>
      <c r="I12" s="526"/>
      <c r="L12" s="534" t="s">
        <v>91</v>
      </c>
      <c r="M12" s="548" t="s">
        <v>706</v>
      </c>
      <c r="N12" s="566">
        <v>105</v>
      </c>
      <c r="O12" s="525"/>
      <c r="T12" s="475"/>
      <c r="U12" s="475"/>
      <c r="V12" s="475"/>
      <c r="W12" s="475"/>
      <c r="X12" s="475"/>
      <c r="AA12" s="475"/>
      <c r="AB12" s="475"/>
    </row>
    <row r="13" spans="1:28" ht="25" customHeight="1" thickBot="1">
      <c r="A13" s="502"/>
      <c r="B13" s="530">
        <v>100</v>
      </c>
      <c r="C13" s="563">
        <v>7045</v>
      </c>
      <c r="D13" s="647" t="s">
        <v>95</v>
      </c>
      <c r="E13" s="648"/>
      <c r="H13" s="523"/>
      <c r="I13" s="526"/>
      <c r="L13" s="536" t="s">
        <v>96</v>
      </c>
      <c r="M13" s="76" t="s">
        <v>85</v>
      </c>
      <c r="N13" s="565">
        <v>3578</v>
      </c>
      <c r="O13" s="525"/>
      <c r="T13" s="475"/>
      <c r="U13" s="475"/>
      <c r="V13" s="475"/>
      <c r="W13" s="475"/>
      <c r="X13" s="475"/>
      <c r="AA13" s="475"/>
      <c r="AB13" s="475"/>
    </row>
    <row r="14" spans="1:28" ht="25" customHeight="1" thickBot="1">
      <c r="A14" s="502"/>
      <c r="B14" s="79">
        <f>'Backend Design'!C33</f>
        <v>63</v>
      </c>
      <c r="C14" s="525"/>
      <c r="D14" s="525"/>
      <c r="E14" s="525"/>
      <c r="H14" s="523"/>
      <c r="I14" s="526"/>
      <c r="L14" s="534" t="s">
        <v>99</v>
      </c>
      <c r="M14" s="548" t="s">
        <v>85</v>
      </c>
      <c r="N14" s="566">
        <v>10700</v>
      </c>
      <c r="O14" s="525"/>
      <c r="T14" s="475"/>
      <c r="U14" s="475"/>
      <c r="V14" s="475"/>
      <c r="W14" s="475"/>
      <c r="X14" s="475"/>
      <c r="AA14" s="475"/>
      <c r="AB14" s="475"/>
    </row>
    <row r="15" spans="1:28" ht="25" customHeight="1" thickBot="1">
      <c r="A15" s="502"/>
      <c r="B15" s="543"/>
      <c r="C15" s="525"/>
      <c r="D15" s="525"/>
      <c r="E15" s="525"/>
      <c r="H15" s="523"/>
      <c r="I15" s="526"/>
      <c r="L15" s="536" t="s">
        <v>102</v>
      </c>
      <c r="M15" s="76" t="s">
        <v>85</v>
      </c>
      <c r="N15" s="565">
        <v>10000</v>
      </c>
      <c r="O15" s="525"/>
      <c r="T15" s="475"/>
      <c r="U15" s="475"/>
      <c r="V15" s="475"/>
      <c r="W15" s="475"/>
      <c r="X15" s="475"/>
      <c r="AA15" s="475"/>
      <c r="AB15" s="475"/>
    </row>
    <row r="16" spans="1:28" ht="25" customHeight="1" thickBot="1">
      <c r="A16" s="502"/>
      <c r="B16" s="544"/>
      <c r="C16" s="531"/>
      <c r="D16" s="532"/>
      <c r="E16" s="532"/>
      <c r="F16" s="532"/>
      <c r="G16" s="532"/>
      <c r="H16" s="532"/>
      <c r="I16" s="532"/>
      <c r="J16" s="532"/>
      <c r="L16" s="532"/>
      <c r="M16" s="532"/>
      <c r="N16" s="545"/>
      <c r="O16" s="525"/>
      <c r="T16" s="475"/>
      <c r="U16" s="475"/>
      <c r="V16" s="475"/>
      <c r="W16" s="475"/>
      <c r="X16" s="475"/>
      <c r="AA16" s="475"/>
      <c r="AB16" s="475"/>
    </row>
    <row r="17" spans="1:28" ht="40.5" customHeight="1" thickBot="1">
      <c r="A17" s="502"/>
      <c r="B17" s="645" t="s">
        <v>710</v>
      </c>
      <c r="C17" s="645"/>
      <c r="D17" s="645"/>
      <c r="E17" s="645"/>
      <c r="G17" s="649" t="s">
        <v>711</v>
      </c>
      <c r="H17" s="649"/>
      <c r="I17" s="649"/>
      <c r="J17" s="649"/>
      <c r="L17" s="645" t="s">
        <v>712</v>
      </c>
      <c r="M17" s="645"/>
      <c r="N17" s="645"/>
      <c r="O17" s="525"/>
      <c r="P17" s="525"/>
      <c r="Q17" s="525"/>
      <c r="R17" s="525"/>
      <c r="S17" s="524"/>
      <c r="T17" s="475"/>
      <c r="U17" s="475"/>
      <c r="V17" s="475"/>
      <c r="W17" s="475"/>
      <c r="X17" s="475"/>
      <c r="AA17" s="475"/>
      <c r="AB17" s="475"/>
    </row>
    <row r="18" spans="1:28" ht="28.5" customHeight="1" thickBot="1">
      <c r="A18" s="502"/>
      <c r="B18" s="551" t="s">
        <v>183</v>
      </c>
      <c r="C18" s="552" t="s">
        <v>184</v>
      </c>
      <c r="D18" s="569" t="s">
        <v>80</v>
      </c>
      <c r="E18" s="551"/>
      <c r="F18" s="553"/>
      <c r="G18" s="551" t="s">
        <v>183</v>
      </c>
      <c r="H18" s="554" t="s">
        <v>184</v>
      </c>
      <c r="I18" s="569" t="s">
        <v>80</v>
      </c>
      <c r="J18" s="551"/>
      <c r="L18" s="549" t="s">
        <v>183</v>
      </c>
      <c r="M18" s="549"/>
      <c r="N18" s="550" t="s">
        <v>184</v>
      </c>
      <c r="O18" s="525"/>
      <c r="P18" s="525"/>
      <c r="Q18" s="525"/>
      <c r="R18" s="525"/>
      <c r="S18" s="526"/>
      <c r="T18" s="521"/>
      <c r="U18" s="475"/>
      <c r="V18" s="475"/>
      <c r="W18" s="475"/>
      <c r="X18" s="475"/>
      <c r="AA18" s="475"/>
      <c r="AB18" s="475"/>
    </row>
    <row r="19" spans="1:28" ht="25" customHeight="1" thickBot="1">
      <c r="A19" s="502"/>
      <c r="B19" s="535">
        <v>2.5</v>
      </c>
      <c r="C19" s="562">
        <v>103</v>
      </c>
      <c r="D19" s="652" t="s">
        <v>95</v>
      </c>
      <c r="E19" s="653"/>
      <c r="G19" s="542">
        <v>2.5</v>
      </c>
      <c r="H19" s="562">
        <v>170</v>
      </c>
      <c r="I19" s="647" t="s">
        <v>95</v>
      </c>
      <c r="J19" s="648"/>
      <c r="L19" s="535">
        <v>3</v>
      </c>
      <c r="M19" s="535"/>
      <c r="N19" s="568">
        <v>280000</v>
      </c>
      <c r="O19" s="501"/>
      <c r="P19" s="501"/>
      <c r="Q19" s="501"/>
      <c r="R19" s="501"/>
      <c r="S19" s="501"/>
      <c r="T19" s="521"/>
      <c r="U19" s="475"/>
      <c r="V19" s="475"/>
      <c r="W19" s="475"/>
      <c r="X19" s="475"/>
      <c r="AA19" s="475"/>
      <c r="AB19" s="475"/>
    </row>
    <row r="20" spans="1:28" ht="25" customHeight="1" thickBot="1">
      <c r="A20" s="502"/>
      <c r="B20" s="535">
        <v>4</v>
      </c>
      <c r="C20" s="562">
        <v>144</v>
      </c>
      <c r="D20" s="652" t="s">
        <v>95</v>
      </c>
      <c r="E20" s="653"/>
      <c r="G20" s="530">
        <v>4</v>
      </c>
      <c r="H20" s="563">
        <v>252</v>
      </c>
      <c r="I20" s="647" t="s">
        <v>95</v>
      </c>
      <c r="J20" s="648"/>
      <c r="L20" s="535">
        <v>4</v>
      </c>
      <c r="M20" s="535"/>
      <c r="N20" s="568">
        <v>320000</v>
      </c>
      <c r="O20" s="501"/>
      <c r="P20" s="501"/>
      <c r="Q20" s="501"/>
      <c r="R20" s="501"/>
      <c r="S20" s="501"/>
      <c r="T20" s="521"/>
      <c r="U20" s="475"/>
      <c r="V20" s="475"/>
      <c r="W20" s="475"/>
      <c r="X20" s="475"/>
      <c r="AA20" s="475"/>
      <c r="AB20" s="475"/>
    </row>
    <row r="21" spans="1:28" ht="25" customHeight="1" thickBot="1">
      <c r="A21" s="502"/>
      <c r="B21" s="535">
        <v>6</v>
      </c>
      <c r="C21" s="562">
        <v>196</v>
      </c>
      <c r="D21" s="652" t="s">
        <v>95</v>
      </c>
      <c r="E21" s="653"/>
      <c r="G21" s="542">
        <v>6</v>
      </c>
      <c r="H21" s="562">
        <v>350</v>
      </c>
      <c r="I21" s="647" t="s">
        <v>95</v>
      </c>
      <c r="J21" s="648"/>
      <c r="L21" s="535">
        <v>5</v>
      </c>
      <c r="M21" s="535"/>
      <c r="N21" s="568">
        <v>355000</v>
      </c>
      <c r="O21" s="501"/>
      <c r="P21" s="501"/>
      <c r="Q21" s="501"/>
      <c r="R21" s="501"/>
      <c r="S21" s="501"/>
      <c r="T21" s="521"/>
      <c r="U21" s="475"/>
      <c r="V21" s="475"/>
      <c r="W21" s="475"/>
      <c r="X21" s="475"/>
      <c r="Y21" s="475"/>
      <c r="Z21" s="475"/>
      <c r="AA21" s="475"/>
      <c r="AB21" s="475"/>
    </row>
    <row r="22" spans="1:28" ht="25" customHeight="1" thickBot="1">
      <c r="A22" s="502"/>
      <c r="B22" s="535">
        <v>10</v>
      </c>
      <c r="C22" s="562">
        <v>309</v>
      </c>
      <c r="D22" s="652" t="s">
        <v>95</v>
      </c>
      <c r="E22" s="653"/>
      <c r="G22" s="530">
        <v>10</v>
      </c>
      <c r="H22" s="563">
        <v>556</v>
      </c>
      <c r="I22" s="647" t="s">
        <v>95</v>
      </c>
      <c r="J22" s="648"/>
      <c r="L22" s="535">
        <v>7.5</v>
      </c>
      <c r="M22" s="535"/>
      <c r="N22" s="568">
        <v>390000</v>
      </c>
      <c r="O22" s="501"/>
      <c r="P22" s="501"/>
      <c r="Q22" s="501"/>
      <c r="R22" s="501"/>
      <c r="S22" s="501"/>
      <c r="T22" s="521"/>
      <c r="U22" s="475"/>
      <c r="V22" s="475"/>
      <c r="W22" s="475"/>
      <c r="X22" s="475"/>
      <c r="Y22" s="475"/>
      <c r="Z22" s="475"/>
      <c r="AA22" s="475"/>
      <c r="AB22" s="475"/>
    </row>
    <row r="23" spans="1:28" ht="25" customHeight="1" thickBot="1">
      <c r="A23" s="502"/>
      <c r="B23" s="530">
        <v>16</v>
      </c>
      <c r="C23" s="563">
        <v>427</v>
      </c>
      <c r="D23" s="652" t="s">
        <v>95</v>
      </c>
      <c r="E23" s="653"/>
      <c r="G23" s="542">
        <v>16</v>
      </c>
      <c r="H23" s="562">
        <v>845</v>
      </c>
      <c r="I23" s="647" t="s">
        <v>95</v>
      </c>
      <c r="J23" s="648"/>
      <c r="L23" s="535">
        <v>9</v>
      </c>
      <c r="M23" s="535"/>
      <c r="N23" s="568">
        <v>420000</v>
      </c>
      <c r="O23" s="501"/>
      <c r="P23" s="501"/>
      <c r="Q23" s="501"/>
      <c r="R23" s="501"/>
      <c r="S23" s="501"/>
      <c r="V23" s="475"/>
      <c r="W23" s="475"/>
      <c r="X23" s="475"/>
      <c r="Y23" s="475"/>
      <c r="Z23" s="475"/>
      <c r="AA23" s="475"/>
      <c r="AB23" s="475"/>
    </row>
    <row r="24" spans="1:28" ht="25" customHeight="1" thickBot="1">
      <c r="A24" s="502"/>
      <c r="B24" s="535">
        <v>25</v>
      </c>
      <c r="C24" s="562">
        <v>659</v>
      </c>
      <c r="D24" s="652" t="s">
        <v>95</v>
      </c>
      <c r="E24" s="653"/>
      <c r="G24" s="530">
        <v>25</v>
      </c>
      <c r="H24" s="563">
        <v>1318</v>
      </c>
      <c r="I24" s="647" t="s">
        <v>95</v>
      </c>
      <c r="J24" s="648"/>
      <c r="L24" s="535">
        <v>12</v>
      </c>
      <c r="M24" s="535"/>
      <c r="N24" s="568">
        <v>490000</v>
      </c>
      <c r="O24" s="501"/>
      <c r="P24" s="501"/>
      <c r="Q24" s="501"/>
      <c r="R24" s="501"/>
      <c r="S24" s="501"/>
      <c r="V24" s="475"/>
      <c r="W24" s="475"/>
      <c r="X24" s="475"/>
      <c r="Y24" s="475"/>
      <c r="Z24" s="475"/>
      <c r="AA24" s="475"/>
      <c r="AB24" s="475"/>
    </row>
    <row r="25" spans="1:28" ht="25" customHeight="1" thickBot="1">
      <c r="A25" s="502"/>
      <c r="B25" s="530">
        <v>35</v>
      </c>
      <c r="C25" s="563">
        <v>896</v>
      </c>
      <c r="D25" s="652" t="s">
        <v>95</v>
      </c>
      <c r="E25" s="653"/>
      <c r="G25" s="542">
        <v>35</v>
      </c>
      <c r="H25" s="562">
        <v>1772</v>
      </c>
      <c r="I25" s="647" t="s">
        <v>95</v>
      </c>
      <c r="J25" s="648"/>
      <c r="L25" s="535">
        <v>15</v>
      </c>
      <c r="M25" s="535"/>
      <c r="N25" s="568">
        <v>510000</v>
      </c>
      <c r="O25" s="501"/>
      <c r="P25" s="501"/>
      <c r="Q25" s="501"/>
      <c r="R25" s="501"/>
      <c r="S25" s="501"/>
      <c r="V25" s="475"/>
      <c r="W25" s="475"/>
      <c r="X25" s="475"/>
      <c r="Y25" s="475"/>
      <c r="Z25" s="475"/>
      <c r="AA25" s="475"/>
      <c r="AB25" s="475"/>
    </row>
    <row r="26" spans="1:28" ht="25" customHeight="1" thickBot="1">
      <c r="A26" s="502"/>
      <c r="B26" s="535">
        <v>50</v>
      </c>
      <c r="C26" s="562">
        <v>1236</v>
      </c>
      <c r="D26" s="652" t="s">
        <v>95</v>
      </c>
      <c r="E26" s="653"/>
      <c r="G26" s="530">
        <v>50</v>
      </c>
      <c r="H26" s="563">
        <v>2472</v>
      </c>
      <c r="I26" s="647" t="s">
        <v>95</v>
      </c>
      <c r="J26" s="648"/>
      <c r="L26" s="535">
        <v>20</v>
      </c>
      <c r="M26" s="535"/>
      <c r="N26" s="568">
        <v>560000</v>
      </c>
      <c r="O26" s="501"/>
      <c r="P26" s="501"/>
      <c r="Q26" s="501"/>
      <c r="R26" s="501"/>
      <c r="S26" s="501"/>
      <c r="V26" s="475"/>
      <c r="W26" s="475"/>
      <c r="X26" s="475"/>
      <c r="Y26" s="475"/>
      <c r="Z26" s="475"/>
      <c r="AA26" s="475"/>
      <c r="AB26" s="475"/>
    </row>
    <row r="27" spans="1:28" ht="25" customHeight="1" thickBot="1">
      <c r="A27" s="502"/>
      <c r="B27" s="535">
        <v>70</v>
      </c>
      <c r="C27" s="562">
        <v>1236</v>
      </c>
      <c r="D27" s="652" t="s">
        <v>95</v>
      </c>
      <c r="E27" s="653"/>
      <c r="G27" s="542">
        <v>70</v>
      </c>
      <c r="H27" s="562">
        <v>3451</v>
      </c>
      <c r="I27" s="647" t="s">
        <v>95</v>
      </c>
      <c r="J27" s="648"/>
      <c r="L27" s="535">
        <v>25</v>
      </c>
      <c r="M27" s="535"/>
      <c r="N27" s="568">
        <v>590000</v>
      </c>
      <c r="O27" s="501"/>
      <c r="P27" s="501"/>
      <c r="Q27" s="501"/>
      <c r="R27" s="501"/>
      <c r="S27" s="501"/>
      <c r="V27" s="475"/>
      <c r="W27" s="475"/>
      <c r="X27" s="475"/>
      <c r="Y27" s="475"/>
      <c r="Z27" s="475"/>
      <c r="AA27" s="475"/>
      <c r="AB27" s="475"/>
    </row>
    <row r="28" spans="1:28" ht="25" customHeight="1" thickBot="1">
      <c r="A28" s="502"/>
      <c r="B28" s="537">
        <v>95</v>
      </c>
      <c r="C28" s="567">
        <v>2318</v>
      </c>
      <c r="D28" s="652" t="s">
        <v>95</v>
      </c>
      <c r="E28" s="653"/>
      <c r="G28" s="537">
        <v>95</v>
      </c>
      <c r="H28" s="567">
        <v>4687</v>
      </c>
      <c r="I28" s="647" t="s">
        <v>95</v>
      </c>
      <c r="J28" s="648"/>
      <c r="L28" s="79">
        <f>'Backend Design'!C21</f>
        <v>25</v>
      </c>
      <c r="M28"/>
      <c r="O28" s="501"/>
      <c r="P28" s="501"/>
      <c r="Q28" s="501"/>
      <c r="R28" s="501"/>
      <c r="S28" s="501"/>
      <c r="V28" s="475"/>
      <c r="W28" s="475"/>
      <c r="X28" s="475"/>
      <c r="Y28" s="475"/>
      <c r="Z28" s="475"/>
      <c r="AA28" s="475"/>
      <c r="AB28" s="475"/>
    </row>
    <row r="29" spans="1:28" ht="25" customHeight="1" thickBot="1">
      <c r="A29" s="502"/>
      <c r="B29" s="535">
        <v>120</v>
      </c>
      <c r="C29" s="562">
        <v>3039</v>
      </c>
      <c r="D29" s="652" t="s">
        <v>95</v>
      </c>
      <c r="E29" s="653"/>
      <c r="G29" s="542">
        <v>120</v>
      </c>
      <c r="H29" s="562">
        <v>5923</v>
      </c>
      <c r="I29" s="647" t="s">
        <v>95</v>
      </c>
      <c r="J29" s="648"/>
      <c r="O29" s="501"/>
      <c r="P29" s="501"/>
      <c r="Q29" s="501"/>
      <c r="R29" s="501"/>
      <c r="S29" s="501"/>
      <c r="V29" s="475"/>
      <c r="W29" s="475"/>
      <c r="X29" s="475"/>
      <c r="Y29" s="475"/>
      <c r="Z29" s="475"/>
      <c r="AA29" s="475"/>
      <c r="AB29" s="475"/>
    </row>
    <row r="30" spans="1:28" ht="25" customHeight="1" thickBot="1">
      <c r="A30" s="502"/>
      <c r="B30" s="530">
        <v>150</v>
      </c>
      <c r="C30" s="563">
        <v>3811</v>
      </c>
      <c r="D30" s="652" t="s">
        <v>95</v>
      </c>
      <c r="E30" s="653"/>
      <c r="G30" s="530">
        <v>150</v>
      </c>
      <c r="H30" s="563">
        <v>7365</v>
      </c>
      <c r="I30" s="647" t="s">
        <v>95</v>
      </c>
      <c r="J30" s="648"/>
      <c r="K30" s="501"/>
      <c r="L30" s="501"/>
      <c r="M30" s="501"/>
      <c r="N30" s="501"/>
      <c r="O30" s="501"/>
      <c r="P30" s="501"/>
      <c r="Q30" s="501"/>
      <c r="R30" s="501"/>
      <c r="S30" s="501"/>
      <c r="V30" s="475"/>
      <c r="W30" s="475"/>
      <c r="X30" s="475"/>
      <c r="Y30" s="475"/>
      <c r="Z30" s="475"/>
      <c r="AA30" s="475"/>
      <c r="AB30" s="475"/>
    </row>
    <row r="31" spans="1:28" ht="25" customHeight="1" thickBot="1">
      <c r="A31" s="502"/>
      <c r="B31" s="79">
        <f>'Backend Design'!C26</f>
        <v>4</v>
      </c>
      <c r="C31" s="525"/>
      <c r="D31" s="525"/>
      <c r="E31" s="501"/>
      <c r="G31" s="542">
        <v>185</v>
      </c>
      <c r="H31" s="562">
        <v>9064</v>
      </c>
      <c r="I31" s="647" t="s">
        <v>95</v>
      </c>
      <c r="J31" s="648"/>
      <c r="K31" s="501"/>
      <c r="L31" s="501"/>
      <c r="M31" s="501"/>
      <c r="N31" s="501"/>
      <c r="O31" s="501"/>
      <c r="P31" s="501"/>
      <c r="Q31" s="501"/>
      <c r="R31" s="501"/>
      <c r="S31" s="501"/>
      <c r="V31" s="475"/>
      <c r="W31" s="475"/>
      <c r="X31" s="475"/>
      <c r="Y31" s="475"/>
      <c r="Z31" s="475"/>
      <c r="AA31" s="475"/>
      <c r="AB31" s="475"/>
    </row>
    <row r="32" spans="1:28" ht="25" customHeight="1" thickBot="1">
      <c r="A32" s="502"/>
      <c r="B32"/>
      <c r="C32" s="525"/>
      <c r="D32" s="525"/>
      <c r="E32" s="501"/>
      <c r="G32" s="530">
        <v>240</v>
      </c>
      <c r="H32" s="563">
        <v>12257</v>
      </c>
      <c r="I32" s="647" t="s">
        <v>95</v>
      </c>
      <c r="J32" s="648"/>
      <c r="K32" s="501"/>
      <c r="L32" s="501"/>
      <c r="M32" s="501"/>
      <c r="N32" s="501"/>
      <c r="O32" s="501"/>
      <c r="P32" s="501"/>
      <c r="Q32" s="501"/>
      <c r="R32" s="501"/>
      <c r="S32" s="501"/>
      <c r="V32" s="475"/>
      <c r="W32" s="475"/>
      <c r="X32" s="475"/>
      <c r="Y32" s="475"/>
      <c r="Z32" s="475"/>
      <c r="AA32" s="475"/>
      <c r="AB32" s="475"/>
    </row>
    <row r="33" spans="1:28" ht="25" customHeight="1" thickBot="1">
      <c r="A33" s="502"/>
      <c r="G33" s="542">
        <v>300</v>
      </c>
      <c r="H33" s="562">
        <v>14832</v>
      </c>
      <c r="I33" s="647" t="s">
        <v>95</v>
      </c>
      <c r="J33" s="648"/>
      <c r="K33" s="501"/>
      <c r="L33" s="501"/>
      <c r="M33" s="501"/>
      <c r="N33" s="501"/>
      <c r="O33" s="501"/>
      <c r="P33" s="501"/>
      <c r="Q33" s="501"/>
      <c r="R33" s="501"/>
      <c r="S33" s="501"/>
      <c r="V33" s="475"/>
      <c r="W33" s="475"/>
      <c r="X33" s="475"/>
      <c r="Y33" s="475"/>
      <c r="Z33" s="475"/>
      <c r="AA33" s="475"/>
      <c r="AB33" s="475"/>
    </row>
    <row r="34" spans="1:28" ht="25" customHeight="1" thickBot="1">
      <c r="A34" s="502"/>
      <c r="G34" s="530">
        <v>400</v>
      </c>
      <c r="H34" s="563">
        <v>20085</v>
      </c>
      <c r="I34" s="647" t="s">
        <v>95</v>
      </c>
      <c r="J34" s="648"/>
      <c r="K34" s="501"/>
      <c r="L34" s="501"/>
      <c r="M34" s="501"/>
      <c r="N34" s="501"/>
      <c r="O34" s="501"/>
      <c r="P34" s="501"/>
      <c r="Q34" s="501"/>
      <c r="R34" s="501"/>
      <c r="S34" s="501"/>
      <c r="V34" s="475"/>
      <c r="W34" s="475"/>
      <c r="X34" s="475"/>
      <c r="Y34" s="475"/>
      <c r="Z34" s="475"/>
      <c r="AA34" s="475"/>
      <c r="AB34" s="475"/>
    </row>
    <row r="35" spans="1:28" ht="25" customHeight="1" thickBot="1">
      <c r="A35" s="502"/>
      <c r="G35" s="79">
        <f>'Backend Values'!J40</f>
        <v>6</v>
      </c>
      <c r="H35" s="525"/>
      <c r="I35" s="525"/>
      <c r="J35" s="501"/>
      <c r="K35" s="501"/>
      <c r="L35" s="501"/>
      <c r="M35" s="501"/>
      <c r="N35" s="501"/>
      <c r="O35" s="501"/>
      <c r="P35" s="501"/>
      <c r="Q35" s="501"/>
      <c r="R35" s="501"/>
      <c r="S35" s="501"/>
      <c r="T35" s="521"/>
      <c r="U35" s="475"/>
      <c r="V35" s="475"/>
      <c r="W35" s="475"/>
      <c r="X35" s="475"/>
      <c r="Y35" s="475"/>
      <c r="Z35" s="475"/>
      <c r="AA35" s="475"/>
      <c r="AB35" s="475"/>
    </row>
    <row r="36" spans="1:28" ht="28.5" customHeight="1" thickBot="1">
      <c r="A36" s="502"/>
      <c r="H36" s="523"/>
      <c r="I36" s="523"/>
      <c r="J36" s="501"/>
      <c r="K36" s="501"/>
      <c r="L36" s="501"/>
      <c r="M36" s="501"/>
      <c r="N36" s="501"/>
      <c r="O36" s="501"/>
      <c r="P36" s="501"/>
      <c r="Q36" s="501"/>
      <c r="R36" s="501"/>
      <c r="S36" s="501"/>
      <c r="T36" s="521"/>
      <c r="U36" s="475"/>
      <c r="V36" s="475"/>
      <c r="W36" s="475"/>
      <c r="X36" s="475"/>
      <c r="Y36" s="475"/>
      <c r="Z36" s="475"/>
      <c r="AA36" s="475"/>
      <c r="AB36" s="475"/>
    </row>
    <row r="37" spans="1:28" ht="28.5" customHeight="1" thickBot="1">
      <c r="A37" s="475"/>
      <c r="B37" s="475"/>
      <c r="C37" s="475"/>
      <c r="D37" s="475"/>
      <c r="E37" s="475"/>
      <c r="F37" s="475"/>
      <c r="G37" s="475"/>
      <c r="H37" s="495"/>
      <c r="I37" s="495"/>
      <c r="J37" s="475"/>
      <c r="K37" s="475"/>
      <c r="L37" s="475"/>
      <c r="M37" s="475"/>
      <c r="N37" s="475"/>
      <c r="O37" s="475"/>
      <c r="P37" s="475"/>
      <c r="Q37" s="475"/>
      <c r="R37" s="475"/>
      <c r="S37" s="475"/>
      <c r="T37" s="475"/>
      <c r="U37" s="475"/>
      <c r="V37" s="475"/>
      <c r="W37" s="475"/>
      <c r="X37" s="475"/>
      <c r="Y37" s="475"/>
      <c r="Z37" s="475"/>
      <c r="AA37" s="475"/>
      <c r="AB37" s="475"/>
    </row>
    <row r="38" spans="1:28" ht="30" customHeight="1" thickBot="1">
      <c r="A38" s="82"/>
      <c r="B38" s="669" t="s">
        <v>716</v>
      </c>
      <c r="C38" s="669"/>
      <c r="D38" s="669"/>
      <c r="E38" s="669"/>
      <c r="F38" s="669"/>
      <c r="G38" s="669"/>
      <c r="H38" s="669"/>
      <c r="I38" s="669"/>
      <c r="J38" s="669"/>
      <c r="K38" s="669"/>
      <c r="L38" s="669"/>
      <c r="M38" s="669"/>
      <c r="N38" s="670"/>
      <c r="O38" s="475"/>
      <c r="P38" s="475"/>
      <c r="Q38" s="475"/>
      <c r="R38" s="475"/>
      <c r="S38" s="475"/>
      <c r="T38" s="475"/>
      <c r="U38" s="475"/>
      <c r="V38" s="475"/>
      <c r="W38" s="475"/>
      <c r="X38" s="475"/>
      <c r="Y38" s="475"/>
      <c r="Z38" s="475"/>
      <c r="AA38" s="475"/>
      <c r="AB38" s="475"/>
    </row>
    <row r="39" spans="1:28" s="538" customFormat="1" ht="49" customHeight="1" thickBot="1">
      <c r="A39" s="539"/>
      <c r="B39" s="540"/>
      <c r="E39" s="540"/>
      <c r="F39" s="540"/>
      <c r="G39" s="540"/>
      <c r="H39" s="540"/>
      <c r="I39" s="555" t="s">
        <v>79</v>
      </c>
      <c r="J39" s="556">
        <f>ROUNDUP(K60/(G41*1000),0)</f>
        <v>65</v>
      </c>
      <c r="K39" s="541"/>
      <c r="L39" s="541"/>
      <c r="M39" s="541"/>
      <c r="N39" s="541"/>
      <c r="O39" s="541"/>
      <c r="P39" s="541"/>
      <c r="Q39" s="541"/>
      <c r="R39" s="541"/>
      <c r="S39" s="541"/>
      <c r="T39" s="541"/>
      <c r="U39" s="541"/>
      <c r="V39" s="541"/>
      <c r="W39" s="541"/>
      <c r="X39" s="541"/>
      <c r="Y39" s="541"/>
      <c r="Z39" s="541"/>
      <c r="AA39" s="541"/>
      <c r="AB39" s="541"/>
    </row>
    <row r="40" spans="1:28" ht="70.5" customHeight="1" thickBot="1">
      <c r="A40" s="13"/>
      <c r="B40" s="557" t="s">
        <v>38</v>
      </c>
      <c r="C40" s="657" t="s">
        <v>39</v>
      </c>
      <c r="D40" s="659"/>
      <c r="E40" s="657" t="s">
        <v>40</v>
      </c>
      <c r="F40" s="658"/>
      <c r="G40" s="557" t="s">
        <v>41</v>
      </c>
      <c r="H40" s="557" t="s">
        <v>42</v>
      </c>
      <c r="I40" s="558" t="s">
        <v>685</v>
      </c>
      <c r="J40" s="559" t="s">
        <v>244</v>
      </c>
      <c r="K40" s="559" t="s">
        <v>245</v>
      </c>
      <c r="L40" s="671" t="s">
        <v>80</v>
      </c>
      <c r="M40" s="672"/>
      <c r="N40" s="673"/>
      <c r="O40" s="475"/>
      <c r="P40" s="475"/>
      <c r="Q40" s="475"/>
      <c r="R40" s="475"/>
      <c r="S40" s="475"/>
      <c r="T40" s="475"/>
      <c r="U40" s="475"/>
      <c r="V40" s="475"/>
      <c r="W40" s="475"/>
      <c r="X40" s="475"/>
      <c r="Y40" s="475"/>
      <c r="Z40" s="475"/>
      <c r="AA40" s="475"/>
      <c r="AB40" s="475"/>
    </row>
    <row r="41" spans="1:28" ht="30" customHeight="1" thickBot="1">
      <c r="A41" s="82"/>
      <c r="B41" s="546">
        <v>1</v>
      </c>
      <c r="C41" s="655" t="s">
        <v>81</v>
      </c>
      <c r="D41" s="655"/>
      <c r="E41" s="660" t="str">
        <f>'2. Inputs'!D36</f>
        <v>Monocrystalline</v>
      </c>
      <c r="F41" s="660"/>
      <c r="G41" s="103">
        <f>ROUNDUP('Backend Design'!C39,0)</f>
        <v>101</v>
      </c>
      <c r="H41" s="76" t="s">
        <v>62</v>
      </c>
      <c r="I41" s="478">
        <f>N8</f>
        <v>35000</v>
      </c>
      <c r="J41" s="478">
        <f>I41*G41</f>
        <v>3535000</v>
      </c>
      <c r="K41" s="479"/>
      <c r="L41" s="661" t="s">
        <v>82</v>
      </c>
      <c r="M41" s="661"/>
      <c r="N41" s="661"/>
      <c r="O41" s="475"/>
      <c r="P41" s="475"/>
      <c r="Q41" s="475"/>
      <c r="R41" s="475"/>
      <c r="S41" s="475"/>
      <c r="T41" s="475"/>
      <c r="U41" s="475"/>
      <c r="V41" s="475"/>
      <c r="W41" s="475"/>
      <c r="X41" s="475"/>
      <c r="Y41" s="475"/>
      <c r="Z41" s="475"/>
      <c r="AA41" s="475"/>
      <c r="AB41" s="475"/>
    </row>
    <row r="42" spans="1:28" ht="30" customHeight="1" thickBot="1">
      <c r="A42" s="82"/>
      <c r="B42" s="546">
        <v>2</v>
      </c>
      <c r="C42" s="654" t="str">
        <f>IF('2. Inputs'!D26="RCC", "GI Truss","Aluminum Angle")</f>
        <v>Aluminum Angle</v>
      </c>
      <c r="D42" s="654"/>
      <c r="E42" s="660" t="str">
        <f>IF('2. Inputs'!D26="RCC", "GI Truss Based Structure","2x2 Aluminum Frame and relevant Accessories")</f>
        <v>2x2 Aluminum Frame and relevant Accessories</v>
      </c>
      <c r="F42" s="660"/>
      <c r="G42" s="68">
        <f>G41</f>
        <v>101</v>
      </c>
      <c r="H42" s="76" t="s">
        <v>62</v>
      </c>
      <c r="I42" s="478">
        <f>N9</f>
        <v>9000</v>
      </c>
      <c r="J42" s="479"/>
      <c r="K42" s="478">
        <f>G42*I42</f>
        <v>909000</v>
      </c>
      <c r="L42" s="661" t="s">
        <v>83</v>
      </c>
      <c r="M42" s="661"/>
      <c r="N42" s="661"/>
      <c r="O42" s="475"/>
      <c r="P42" s="475"/>
      <c r="Q42" s="475"/>
      <c r="R42" s="475"/>
      <c r="S42" s="475"/>
      <c r="T42" s="475"/>
      <c r="U42" s="475"/>
      <c r="V42" s="475"/>
      <c r="W42" s="475"/>
      <c r="X42" s="475"/>
      <c r="Y42" s="475"/>
      <c r="Z42" s="475"/>
      <c r="AA42" s="475"/>
      <c r="AB42" s="475"/>
    </row>
    <row r="43" spans="1:28" ht="30" customHeight="1" thickBot="1">
      <c r="A43" s="82"/>
      <c r="B43" s="546">
        <v>3</v>
      </c>
      <c r="C43" s="654" t="s">
        <v>84</v>
      </c>
      <c r="D43" s="654"/>
      <c r="E43" s="660" t="str">
        <f>CONCATENATE('Backend Design'!C21," kW")</f>
        <v>25 kW</v>
      </c>
      <c r="F43" s="660"/>
      <c r="G43" s="68">
        <f>'Backend Design'!C22</f>
        <v>4</v>
      </c>
      <c r="H43" s="76" t="s">
        <v>85</v>
      </c>
      <c r="I43" s="478">
        <f>VLOOKUP(L28,L19:N27,3)</f>
        <v>590000</v>
      </c>
      <c r="J43" s="478">
        <f>I43*G43</f>
        <v>2360000</v>
      </c>
      <c r="K43" s="479"/>
      <c r="L43" s="661" t="s">
        <v>86</v>
      </c>
      <c r="M43" s="661"/>
      <c r="N43" s="661"/>
      <c r="O43" s="475"/>
      <c r="P43" s="475"/>
      <c r="Q43" s="475"/>
      <c r="R43" s="475"/>
      <c r="S43" s="475"/>
      <c r="T43" s="475"/>
      <c r="U43" s="475"/>
      <c r="V43" s="475"/>
      <c r="W43" s="475"/>
      <c r="X43" s="475"/>
      <c r="Y43" s="475"/>
      <c r="Z43" s="475"/>
      <c r="AA43" s="475"/>
      <c r="AB43" s="475"/>
    </row>
    <row r="44" spans="1:28" ht="30" customHeight="1" thickBot="1">
      <c r="A44" s="82"/>
      <c r="B44" s="546">
        <v>4</v>
      </c>
      <c r="C44" s="654" t="s">
        <v>31</v>
      </c>
      <c r="D44" s="654"/>
      <c r="E44" s="656" t="s">
        <v>87</v>
      </c>
      <c r="F44" s="656"/>
      <c r="G44" s="68">
        <f>IF('2. Inputs'!D34="Required",1,0)</f>
        <v>1</v>
      </c>
      <c r="H44" s="76" t="s">
        <v>85</v>
      </c>
      <c r="I44" s="478">
        <f>N10</f>
        <v>65000</v>
      </c>
      <c r="J44" s="479"/>
      <c r="K44" s="478">
        <f t="shared" ref="K44:K55" si="0">G44*I44</f>
        <v>65000</v>
      </c>
      <c r="L44" s="661" t="s">
        <v>88</v>
      </c>
      <c r="M44" s="661"/>
      <c r="N44" s="661"/>
      <c r="O44" s="475"/>
      <c r="P44" s="475"/>
      <c r="Q44" s="475"/>
      <c r="R44" s="475"/>
      <c r="S44" s="475"/>
      <c r="T44" s="475"/>
      <c r="U44" s="475"/>
      <c r="V44" s="475"/>
      <c r="W44" s="475"/>
      <c r="X44" s="475"/>
      <c r="Y44" s="475"/>
      <c r="Z44" s="475"/>
      <c r="AA44" s="475"/>
      <c r="AB44" s="475"/>
    </row>
    <row r="45" spans="1:28" ht="30" customHeight="1" thickBot="1">
      <c r="A45" s="82"/>
      <c r="B45" s="546">
        <v>5</v>
      </c>
      <c r="C45" s="654" t="s">
        <v>89</v>
      </c>
      <c r="D45" s="654"/>
      <c r="E45" s="656" t="s">
        <v>90</v>
      </c>
      <c r="F45" s="656"/>
      <c r="G45" s="68">
        <f>IF('2. Inputs'!D35="Required",1,0)</f>
        <v>0</v>
      </c>
      <c r="H45" s="76" t="s">
        <v>85</v>
      </c>
      <c r="I45" s="478">
        <f>N11</f>
        <v>31000</v>
      </c>
      <c r="J45" s="479"/>
      <c r="K45" s="478">
        <f>G45*I45</f>
        <v>0</v>
      </c>
      <c r="L45" s="661" t="s">
        <v>88</v>
      </c>
      <c r="M45" s="661"/>
      <c r="N45" s="661"/>
      <c r="O45" s="475"/>
      <c r="P45" s="475"/>
      <c r="Q45" s="475"/>
      <c r="R45" s="475"/>
      <c r="S45" s="475"/>
      <c r="T45" s="475"/>
      <c r="U45" s="475"/>
      <c r="V45" s="475"/>
      <c r="W45" s="475"/>
      <c r="X45" s="475"/>
      <c r="Y45" s="475"/>
      <c r="Z45" s="475"/>
      <c r="AA45" s="475"/>
      <c r="AB45" s="475"/>
    </row>
    <row r="46" spans="1:28" ht="46" customHeight="1" thickBot="1">
      <c r="A46" s="82"/>
      <c r="B46" s="546">
        <v>6</v>
      </c>
      <c r="C46" s="654" t="s">
        <v>91</v>
      </c>
      <c r="D46" s="654"/>
      <c r="E46" s="656" t="s">
        <v>92</v>
      </c>
      <c r="F46" s="656"/>
      <c r="G46" s="68">
        <f>ROUNDDOWN(((G41*1000)/('2. Inputs'!D37))*1.5,0)</f>
        <v>309</v>
      </c>
      <c r="H46" s="76" t="s">
        <v>93</v>
      </c>
      <c r="I46" s="478">
        <f>N12</f>
        <v>105</v>
      </c>
      <c r="J46" s="479"/>
      <c r="K46" s="478">
        <f t="shared" si="0"/>
        <v>32445</v>
      </c>
      <c r="L46" s="661" t="s">
        <v>248</v>
      </c>
      <c r="M46" s="661"/>
      <c r="N46" s="661"/>
      <c r="O46" s="475"/>
      <c r="P46" s="475"/>
      <c r="Q46" s="475"/>
      <c r="R46" s="475"/>
      <c r="S46" s="475"/>
      <c r="T46" s="475"/>
      <c r="U46" s="475"/>
      <c r="V46" s="475"/>
      <c r="W46" s="475"/>
      <c r="X46" s="475"/>
      <c r="Y46" s="475"/>
      <c r="Z46" s="475"/>
      <c r="AA46" s="475"/>
      <c r="AB46" s="475"/>
    </row>
    <row r="47" spans="1:28" ht="30" customHeight="1" thickBot="1">
      <c r="A47" s="82"/>
      <c r="B47" s="546">
        <v>7</v>
      </c>
      <c r="C47" s="654" t="s">
        <v>94</v>
      </c>
      <c r="D47" s="654"/>
      <c r="E47" s="660" t="str">
        <f>CONCATENATE('Backend Design'!C26, " Sq.mm")</f>
        <v>4 Sq.mm</v>
      </c>
      <c r="F47" s="660"/>
      <c r="G47" s="68">
        <f>'2. Inputs'!D33</f>
        <v>50</v>
      </c>
      <c r="H47" s="76" t="s">
        <v>93</v>
      </c>
      <c r="I47" s="478">
        <f>VLOOKUP(B31,B19:C30,2)</f>
        <v>144</v>
      </c>
      <c r="J47" s="479"/>
      <c r="K47" s="478">
        <f t="shared" si="0"/>
        <v>7200</v>
      </c>
      <c r="L47" s="661" t="s">
        <v>95</v>
      </c>
      <c r="M47" s="661"/>
      <c r="N47" s="661"/>
      <c r="O47" s="475"/>
      <c r="P47" s="475"/>
      <c r="Q47" s="475"/>
      <c r="R47" s="475"/>
      <c r="S47" s="475"/>
      <c r="T47" s="475"/>
      <c r="U47" s="475"/>
      <c r="V47" s="475"/>
      <c r="W47" s="475"/>
      <c r="X47" s="475"/>
      <c r="Y47" s="475"/>
      <c r="Z47" s="475"/>
      <c r="AA47" s="475"/>
      <c r="AB47" s="475"/>
    </row>
    <row r="48" spans="1:28" ht="30" customHeight="1" thickBot="1">
      <c r="A48" s="82"/>
      <c r="B48" s="546">
        <v>8</v>
      </c>
      <c r="C48" s="654" t="s">
        <v>190</v>
      </c>
      <c r="D48" s="654"/>
      <c r="E48" s="660" t="str">
        <f>CONCATENATE('Backend Values'!J40, " Sq.mm, 4 Core, Unarmoured")</f>
        <v>6 Sq.mm, 4 Core, Unarmoured</v>
      </c>
      <c r="F48" s="660"/>
      <c r="G48" s="68">
        <f>'Backend Values'!D40</f>
        <v>40</v>
      </c>
      <c r="H48" s="76" t="s">
        <v>93</v>
      </c>
      <c r="I48" s="478">
        <f>VLOOKUP(G35,G19:H34,2)</f>
        <v>350</v>
      </c>
      <c r="J48" s="479"/>
      <c r="K48" s="478">
        <f t="shared" si="0"/>
        <v>14000</v>
      </c>
      <c r="L48" s="662"/>
      <c r="M48" s="662"/>
      <c r="N48" s="662"/>
      <c r="O48" s="475"/>
      <c r="P48" s="475"/>
      <c r="Q48" s="475"/>
      <c r="R48" s="475"/>
      <c r="S48" s="475"/>
      <c r="T48" s="475"/>
      <c r="U48" s="475"/>
      <c r="V48" s="475"/>
      <c r="W48" s="475"/>
      <c r="X48" s="475"/>
      <c r="Y48" s="475"/>
      <c r="Z48" s="475"/>
      <c r="AA48" s="475"/>
      <c r="AB48" s="475"/>
    </row>
    <row r="49" spans="1:28" ht="30" customHeight="1" thickBot="1">
      <c r="A49" s="82"/>
      <c r="B49" s="546">
        <v>9</v>
      </c>
      <c r="C49" s="654" t="s">
        <v>96</v>
      </c>
      <c r="D49" s="654"/>
      <c r="E49" s="656" t="s">
        <v>97</v>
      </c>
      <c r="F49" s="656"/>
      <c r="G49" s="68">
        <f>ROUNDUP((G41*1000)/(16*'2. Inputs'!D37),0)</f>
        <v>13</v>
      </c>
      <c r="H49" s="76" t="s">
        <v>85</v>
      </c>
      <c r="I49" s="478">
        <f>N13</f>
        <v>3578</v>
      </c>
      <c r="J49" s="479"/>
      <c r="K49" s="478">
        <f t="shared" si="0"/>
        <v>46514</v>
      </c>
      <c r="L49" s="661" t="s">
        <v>88</v>
      </c>
      <c r="M49" s="661"/>
      <c r="N49" s="661"/>
      <c r="O49" s="475"/>
      <c r="P49" s="475"/>
      <c r="Q49" s="475"/>
      <c r="R49" s="475"/>
      <c r="S49" s="475"/>
      <c r="T49" s="475"/>
      <c r="U49" s="475"/>
      <c r="V49" s="475"/>
      <c r="W49" s="475"/>
      <c r="X49" s="475"/>
      <c r="Y49" s="475"/>
      <c r="Z49" s="475"/>
      <c r="AA49" s="475"/>
      <c r="AB49" s="475"/>
    </row>
    <row r="50" spans="1:28" ht="30" customHeight="1" thickBot="1">
      <c r="A50" s="82"/>
      <c r="B50" s="546">
        <v>10</v>
      </c>
      <c r="C50" s="654" t="s">
        <v>98</v>
      </c>
      <c r="D50" s="654"/>
      <c r="E50" s="660" t="str">
        <f>CONCATENATE('Backend Design'!C33, " Amp")</f>
        <v>63 Amp</v>
      </c>
      <c r="F50" s="660"/>
      <c r="G50" s="68">
        <f>'Backend Design'!C34</f>
        <v>5</v>
      </c>
      <c r="H50" s="76" t="s">
        <v>85</v>
      </c>
      <c r="I50" s="478">
        <f>VLOOKUP(B14,B8:C13,2)</f>
        <v>6386</v>
      </c>
      <c r="J50" s="479"/>
      <c r="K50" s="478">
        <f t="shared" si="0"/>
        <v>31930</v>
      </c>
      <c r="L50" s="661" t="s">
        <v>95</v>
      </c>
      <c r="M50" s="661"/>
      <c r="N50" s="661"/>
      <c r="O50" s="475"/>
      <c r="P50" s="475"/>
      <c r="Q50" s="475"/>
      <c r="R50" s="475"/>
      <c r="S50" s="475"/>
      <c r="T50" s="475"/>
      <c r="U50" s="475"/>
      <c r="V50" s="475"/>
      <c r="W50" s="475"/>
      <c r="X50" s="475"/>
      <c r="Y50" s="475"/>
      <c r="Z50" s="475"/>
      <c r="AA50" s="475"/>
      <c r="AB50" s="475"/>
    </row>
    <row r="51" spans="1:28" ht="30" customHeight="1" thickBot="1">
      <c r="A51" s="82"/>
      <c r="B51" s="546">
        <v>11</v>
      </c>
      <c r="C51" s="654" t="s">
        <v>99</v>
      </c>
      <c r="D51" s="654"/>
      <c r="E51" s="656" t="s">
        <v>100</v>
      </c>
      <c r="F51" s="656"/>
      <c r="G51" s="68">
        <f>IF(G49&lt;8,1,ROUNDUP((G49/8),0))</f>
        <v>2</v>
      </c>
      <c r="H51" s="76" t="s">
        <v>85</v>
      </c>
      <c r="I51" s="478">
        <f>N14</f>
        <v>10700</v>
      </c>
      <c r="J51" s="479"/>
      <c r="K51" s="478">
        <f t="shared" si="0"/>
        <v>21400</v>
      </c>
      <c r="L51" s="661" t="s">
        <v>88</v>
      </c>
      <c r="M51" s="661"/>
      <c r="N51" s="661"/>
      <c r="O51" s="475"/>
      <c r="P51" s="475"/>
      <c r="Q51" s="475"/>
      <c r="R51" s="475"/>
      <c r="S51" s="475"/>
      <c r="T51" s="475"/>
      <c r="U51" s="475"/>
      <c r="V51" s="475"/>
      <c r="W51" s="475"/>
      <c r="X51" s="475"/>
      <c r="Y51" s="475"/>
      <c r="Z51" s="475"/>
      <c r="AA51" s="475"/>
      <c r="AB51" s="475"/>
    </row>
    <row r="52" spans="1:28" ht="30" customHeight="1" thickBot="1">
      <c r="A52" s="82"/>
      <c r="B52" s="546">
        <v>12</v>
      </c>
      <c r="C52" s="654" t="s">
        <v>101</v>
      </c>
      <c r="D52" s="654"/>
      <c r="E52" s="660" t="str">
        <f>IF(G41&lt;10,"Copper Spike","ESE Type")</f>
        <v>ESE Type</v>
      </c>
      <c r="F52" s="660"/>
      <c r="G52" s="505">
        <v>1</v>
      </c>
      <c r="H52" s="76" t="s">
        <v>85</v>
      </c>
      <c r="I52" s="478">
        <f>IF(E52="ESE Type",H8,H9)</f>
        <v>85000</v>
      </c>
      <c r="J52" s="479"/>
      <c r="K52" s="478">
        <f t="shared" si="0"/>
        <v>85000</v>
      </c>
      <c r="L52" s="661" t="s">
        <v>88</v>
      </c>
      <c r="M52" s="661"/>
      <c r="N52" s="661"/>
      <c r="O52" s="475"/>
      <c r="P52" s="475"/>
      <c r="Q52" s="475"/>
      <c r="R52" s="475"/>
      <c r="S52" s="475"/>
      <c r="T52" s="475"/>
      <c r="U52" s="475"/>
      <c r="V52" s="475"/>
      <c r="W52" s="475"/>
      <c r="X52" s="475"/>
      <c r="Y52" s="475"/>
      <c r="Z52" s="475"/>
      <c r="AA52" s="475"/>
      <c r="AB52" s="475"/>
    </row>
    <row r="53" spans="1:28" ht="30" customHeight="1" thickBot="1">
      <c r="A53" s="82"/>
      <c r="B53" s="546">
        <v>13</v>
      </c>
      <c r="C53" s="654" t="s">
        <v>102</v>
      </c>
      <c r="D53" s="654"/>
      <c r="E53" s="656" t="s">
        <v>103</v>
      </c>
      <c r="F53" s="656"/>
      <c r="G53" s="505">
        <v>4</v>
      </c>
      <c r="H53" s="76" t="s">
        <v>85</v>
      </c>
      <c r="I53" s="478">
        <f>N15</f>
        <v>10000</v>
      </c>
      <c r="J53" s="479"/>
      <c r="K53" s="478">
        <f t="shared" si="0"/>
        <v>40000</v>
      </c>
      <c r="L53" s="661" t="s">
        <v>88</v>
      </c>
      <c r="M53" s="661"/>
      <c r="N53" s="661"/>
      <c r="O53" s="475"/>
      <c r="P53" s="475"/>
      <c r="Q53" s="475"/>
      <c r="R53" s="475"/>
      <c r="S53" s="475"/>
      <c r="T53" s="475"/>
      <c r="U53" s="475"/>
      <c r="V53" s="475"/>
      <c r="W53" s="475"/>
      <c r="X53" s="475"/>
      <c r="Y53" s="475"/>
      <c r="Z53" s="475"/>
      <c r="AA53" s="475"/>
      <c r="AB53" s="475"/>
    </row>
    <row r="54" spans="1:28" ht="30" customHeight="1" thickBot="1">
      <c r="A54" s="82"/>
      <c r="B54" s="546">
        <v>13</v>
      </c>
      <c r="C54" s="654" t="s">
        <v>104</v>
      </c>
      <c r="D54" s="654"/>
      <c r="E54" s="656" t="s">
        <v>105</v>
      </c>
      <c r="F54" s="656"/>
      <c r="G54" s="68">
        <f>ROUNDUP(('2. Inputs'!D29*1.15)/1.5,0)</f>
        <v>27</v>
      </c>
      <c r="H54" s="76" t="s">
        <v>106</v>
      </c>
      <c r="I54" s="478">
        <f>H10</f>
        <v>1082</v>
      </c>
      <c r="J54" s="479"/>
      <c r="K54" s="478">
        <f t="shared" si="0"/>
        <v>29214</v>
      </c>
      <c r="L54" s="661" t="s">
        <v>95</v>
      </c>
      <c r="M54" s="661"/>
      <c r="N54" s="661"/>
      <c r="O54" s="475"/>
      <c r="P54" s="475"/>
      <c r="Q54" s="475"/>
      <c r="R54" s="475"/>
      <c r="S54" s="475"/>
      <c r="T54" s="475"/>
      <c r="U54" s="475"/>
      <c r="V54" s="475"/>
      <c r="W54" s="475"/>
      <c r="X54" s="475"/>
      <c r="Y54" s="475"/>
      <c r="Z54" s="475"/>
      <c r="AA54" s="475"/>
      <c r="AB54" s="475"/>
    </row>
    <row r="55" spans="1:28" ht="30" customHeight="1" thickBot="1">
      <c r="A55" s="82"/>
      <c r="B55" s="546">
        <v>14</v>
      </c>
      <c r="C55" s="654" t="s">
        <v>107</v>
      </c>
      <c r="D55" s="654"/>
      <c r="E55" s="656" t="s">
        <v>108</v>
      </c>
      <c r="F55" s="656"/>
      <c r="G55" s="505">
        <v>1</v>
      </c>
      <c r="H55" s="76" t="s">
        <v>109</v>
      </c>
      <c r="I55" s="478">
        <f>6*G41*1000</f>
        <v>606000</v>
      </c>
      <c r="J55" s="479"/>
      <c r="K55" s="478">
        <f t="shared" si="0"/>
        <v>606000</v>
      </c>
      <c r="L55" s="661" t="s">
        <v>110</v>
      </c>
      <c r="M55" s="661"/>
      <c r="N55" s="661"/>
      <c r="O55" s="475"/>
      <c r="P55" s="475"/>
      <c r="Q55" s="475"/>
      <c r="R55" s="475"/>
      <c r="S55" s="475"/>
      <c r="T55" s="475"/>
      <c r="U55" s="475"/>
      <c r="V55" s="475"/>
      <c r="W55" s="475"/>
      <c r="X55" s="475"/>
      <c r="Y55" s="475"/>
      <c r="Z55" s="475"/>
      <c r="AA55" s="475"/>
      <c r="AB55" s="475"/>
    </row>
    <row r="56" spans="1:28" ht="30" customHeight="1" thickBot="1">
      <c r="A56" s="82"/>
      <c r="B56" s="546">
        <v>15</v>
      </c>
      <c r="C56" s="654" t="s">
        <v>111</v>
      </c>
      <c r="D56" s="654"/>
      <c r="E56" s="656" t="s">
        <v>112</v>
      </c>
      <c r="F56" s="656"/>
      <c r="G56" s="505">
        <v>1</v>
      </c>
      <c r="H56" s="76" t="s">
        <v>113</v>
      </c>
      <c r="I56" s="478">
        <f>5*G41*1000</f>
        <v>505000</v>
      </c>
      <c r="J56" s="479"/>
      <c r="K56" s="478">
        <f>G56*I56</f>
        <v>505000</v>
      </c>
      <c r="L56" s="661" t="s">
        <v>114</v>
      </c>
      <c r="M56" s="661"/>
      <c r="N56" s="661"/>
      <c r="O56" s="475"/>
      <c r="P56" s="475"/>
      <c r="Q56" s="475"/>
      <c r="R56" s="475"/>
      <c r="S56" s="475"/>
      <c r="T56" s="475"/>
      <c r="U56" s="475"/>
      <c r="V56" s="475"/>
      <c r="W56" s="475"/>
      <c r="X56" s="475"/>
      <c r="Y56" s="475"/>
      <c r="Z56" s="475"/>
      <c r="AA56" s="475"/>
      <c r="AB56" s="475"/>
    </row>
    <row r="57" spans="1:28" ht="30" customHeight="1" thickBot="1">
      <c r="A57" s="82"/>
      <c r="B57" s="546">
        <v>16</v>
      </c>
      <c r="C57" s="654" t="s">
        <v>115</v>
      </c>
      <c r="D57" s="654"/>
      <c r="E57" s="656" t="s">
        <v>116</v>
      </c>
      <c r="F57" s="656"/>
      <c r="G57" s="505">
        <v>1</v>
      </c>
      <c r="H57" s="76"/>
      <c r="I57" s="479"/>
      <c r="J57" s="478">
        <f>SUM(J41:J43)*5%</f>
        <v>294750</v>
      </c>
      <c r="K57" s="478">
        <f>SUM(K41:K56)*5%</f>
        <v>119635.15000000001</v>
      </c>
      <c r="L57" s="662"/>
      <c r="M57" s="662"/>
      <c r="N57" s="662"/>
      <c r="O57" s="475"/>
      <c r="P57" s="475"/>
      <c r="Q57" s="475"/>
      <c r="R57" s="475"/>
      <c r="S57" s="475"/>
      <c r="T57" s="475"/>
      <c r="U57" s="475"/>
      <c r="V57" s="475"/>
      <c r="W57" s="475"/>
      <c r="X57" s="475"/>
      <c r="Y57" s="475"/>
      <c r="Z57" s="475"/>
      <c r="AA57" s="475"/>
      <c r="AB57" s="475"/>
    </row>
    <row r="58" spans="1:28" ht="30" customHeight="1" thickBot="1">
      <c r="A58" s="13"/>
      <c r="B58" s="83"/>
      <c r="D58" s="83"/>
      <c r="E58" s="496"/>
      <c r="F58" s="83"/>
      <c r="G58" s="83"/>
      <c r="H58" s="83"/>
      <c r="I58" s="560" t="s">
        <v>65</v>
      </c>
      <c r="J58" s="561">
        <f>SUM(J41:J57)</f>
        <v>6189750</v>
      </c>
      <c r="K58" s="561">
        <f>SUM(K42:K57)</f>
        <v>2512338.15</v>
      </c>
      <c r="L58" s="663" t="s">
        <v>117</v>
      </c>
      <c r="M58" s="664"/>
      <c r="N58" s="665"/>
      <c r="O58" s="475"/>
      <c r="P58" s="475"/>
      <c r="Q58" s="475"/>
      <c r="R58" s="475"/>
      <c r="S58" s="475"/>
      <c r="T58" s="475"/>
      <c r="U58" s="475"/>
      <c r="V58" s="475"/>
      <c r="W58" s="475"/>
      <c r="X58" s="475"/>
      <c r="Y58" s="475"/>
      <c r="Z58" s="475"/>
      <c r="AA58" s="475"/>
      <c r="AB58" s="475"/>
    </row>
    <row r="59" spans="1:28" ht="30" customHeight="1" thickBot="1">
      <c r="A59" s="13"/>
      <c r="B59" s="13"/>
      <c r="D59" s="13"/>
      <c r="E59" s="496"/>
      <c r="F59" s="13"/>
      <c r="G59" s="13"/>
      <c r="H59" s="13"/>
      <c r="I59" s="13"/>
      <c r="J59" s="433" t="s">
        <v>66</v>
      </c>
      <c r="K59" s="480">
        <f>K58*13%</f>
        <v>326603.9595</v>
      </c>
      <c r="L59" s="666" t="s">
        <v>117</v>
      </c>
      <c r="M59" s="667"/>
      <c r="N59" s="668"/>
      <c r="O59" s="475"/>
      <c r="P59" s="475"/>
      <c r="Q59" s="475"/>
      <c r="R59" s="475"/>
      <c r="S59" s="475"/>
      <c r="T59" s="475"/>
      <c r="U59" s="475"/>
      <c r="V59" s="475"/>
      <c r="W59" s="475"/>
      <c r="X59" s="475"/>
      <c r="Y59" s="475"/>
      <c r="Z59" s="475"/>
      <c r="AA59" s="475"/>
      <c r="AB59" s="475"/>
    </row>
    <row r="60" spans="1:28" ht="30" customHeight="1" thickBot="1">
      <c r="A60" s="13"/>
      <c r="B60" s="522" t="s">
        <v>692</v>
      </c>
      <c r="D60" s="496"/>
      <c r="E60" s="496"/>
      <c r="F60" s="13"/>
      <c r="G60" s="13"/>
      <c r="H60" s="13"/>
      <c r="I60" s="13"/>
      <c r="J60" s="433" t="s">
        <v>68</v>
      </c>
      <c r="K60" s="480">
        <f>(K59+J58)</f>
        <v>6516353.9594999999</v>
      </c>
      <c r="L60" s="666" t="s">
        <v>117</v>
      </c>
      <c r="M60" s="667"/>
      <c r="N60" s="668"/>
      <c r="O60" s="475"/>
      <c r="P60" s="475"/>
      <c r="Q60" s="475"/>
      <c r="R60" s="475"/>
      <c r="S60" s="475"/>
      <c r="T60" s="475"/>
      <c r="U60" s="475"/>
      <c r="V60" s="475"/>
      <c r="W60" s="475"/>
      <c r="X60" s="475"/>
      <c r="Y60" s="475"/>
      <c r="Z60" s="475"/>
      <c r="AA60" s="475"/>
      <c r="AB60" s="475"/>
    </row>
    <row r="61" spans="1:28" ht="28.5" customHeight="1" thickBot="1">
      <c r="A61" s="475"/>
      <c r="B61" s="475"/>
      <c r="C61" s="475"/>
      <c r="D61" s="475"/>
      <c r="E61" s="475"/>
      <c r="F61" s="475"/>
      <c r="G61" s="475"/>
      <c r="H61" s="495"/>
      <c r="I61" s="498"/>
      <c r="J61" s="475"/>
      <c r="K61" s="475"/>
      <c r="L61" s="475"/>
      <c r="M61" s="475"/>
      <c r="N61" s="475"/>
      <c r="O61" s="475"/>
      <c r="P61" s="475"/>
      <c r="Q61" s="475"/>
      <c r="R61" s="475"/>
      <c r="S61" s="475"/>
      <c r="T61" s="475"/>
      <c r="U61" s="475"/>
      <c r="V61" s="475"/>
      <c r="W61" s="475"/>
      <c r="X61" s="475"/>
      <c r="Y61" s="475"/>
      <c r="Z61" s="475"/>
      <c r="AA61" s="475"/>
      <c r="AB61" s="475"/>
    </row>
    <row r="62" spans="1:28" ht="28.5" customHeight="1" thickBot="1">
      <c r="A62" s="475"/>
      <c r="I62" s="495"/>
      <c r="J62" s="475"/>
      <c r="K62" s="475"/>
      <c r="L62" s="475"/>
      <c r="M62" s="475"/>
      <c r="N62" s="475"/>
      <c r="O62" s="475"/>
      <c r="P62" s="475"/>
      <c r="Q62" s="475"/>
      <c r="R62" s="475"/>
      <c r="S62" s="475"/>
      <c r="T62" s="475"/>
      <c r="U62" s="475"/>
      <c r="V62" s="475"/>
      <c r="W62" s="475"/>
      <c r="X62" s="475"/>
      <c r="Y62" s="475"/>
      <c r="Z62" s="475"/>
      <c r="AA62" s="475"/>
      <c r="AB62" s="475"/>
    </row>
    <row r="63" spans="1:28" ht="28.5" customHeight="1" thickBot="1">
      <c r="A63" s="475"/>
      <c r="B63" s="475"/>
      <c r="C63" s="475"/>
      <c r="D63" s="475"/>
      <c r="E63" s="475"/>
      <c r="F63" s="475"/>
      <c r="G63" s="475"/>
      <c r="H63" s="495"/>
      <c r="I63" s="495"/>
      <c r="J63" s="475"/>
      <c r="K63" s="475"/>
      <c r="L63" s="475"/>
      <c r="M63" s="475"/>
      <c r="N63" s="475"/>
      <c r="O63" s="475"/>
      <c r="P63" s="475"/>
      <c r="Q63" s="475"/>
      <c r="R63" s="475"/>
      <c r="S63" s="475"/>
      <c r="T63" s="475"/>
      <c r="U63" s="475"/>
      <c r="V63" s="475"/>
      <c r="W63" s="475"/>
      <c r="X63" s="475"/>
      <c r="Y63" s="475"/>
      <c r="Z63" s="475"/>
      <c r="AA63" s="475"/>
      <c r="AB63" s="475"/>
    </row>
    <row r="64" spans="1:28" ht="28.5" customHeight="1" thickBot="1">
      <c r="A64" s="475"/>
      <c r="B64" s="475"/>
      <c r="C64" s="475"/>
      <c r="D64" s="475"/>
      <c r="E64" s="475"/>
      <c r="F64" s="475"/>
      <c r="G64" s="475"/>
      <c r="H64" s="495"/>
      <c r="I64" s="495"/>
      <c r="J64" s="475"/>
      <c r="K64" s="475"/>
      <c r="L64" s="475"/>
      <c r="M64" s="475"/>
      <c r="N64" s="475"/>
      <c r="O64" s="475"/>
      <c r="P64" s="475"/>
      <c r="Q64" s="475"/>
      <c r="R64" s="475"/>
      <c r="S64" s="475"/>
      <c r="T64" s="475"/>
      <c r="U64" s="475"/>
      <c r="V64" s="475"/>
      <c r="W64" s="475"/>
      <c r="X64" s="475"/>
      <c r="Y64" s="475"/>
      <c r="Z64" s="475"/>
      <c r="AA64" s="475"/>
      <c r="AB64" s="475"/>
    </row>
    <row r="65" spans="1:28" ht="28.5" customHeight="1" thickBot="1">
      <c r="A65" s="475"/>
      <c r="B65" s="475"/>
      <c r="C65" s="475"/>
      <c r="D65" s="475"/>
      <c r="E65" s="475"/>
      <c r="F65" s="475"/>
      <c r="G65" s="475"/>
      <c r="H65" s="495"/>
      <c r="I65" s="495"/>
      <c r="J65" s="475"/>
      <c r="K65" s="475"/>
      <c r="L65" s="475"/>
      <c r="M65" s="475"/>
      <c r="N65" s="475"/>
      <c r="O65" s="475"/>
      <c r="P65" s="475"/>
      <c r="Q65" s="475"/>
      <c r="R65" s="475"/>
      <c r="S65" s="475"/>
      <c r="T65" s="475"/>
      <c r="U65" s="475"/>
      <c r="V65" s="475"/>
      <c r="W65" s="475"/>
      <c r="X65" s="475"/>
      <c r="Y65" s="475"/>
      <c r="Z65" s="475"/>
      <c r="AA65" s="475"/>
      <c r="AB65" s="475"/>
    </row>
    <row r="66" spans="1:28" ht="28.5" customHeight="1" thickBot="1">
      <c r="A66" s="475"/>
      <c r="B66" s="475"/>
      <c r="C66" s="475"/>
      <c r="D66" s="475"/>
      <c r="E66" s="475"/>
      <c r="F66" s="475"/>
      <c r="G66" s="475"/>
      <c r="H66" s="495"/>
      <c r="I66" s="495"/>
      <c r="J66" s="475"/>
      <c r="K66" s="475"/>
      <c r="L66" s="475"/>
      <c r="M66" s="475"/>
      <c r="N66" s="475"/>
      <c r="O66" s="475"/>
      <c r="P66" s="475"/>
      <c r="Q66" s="475"/>
      <c r="R66" s="475"/>
      <c r="S66" s="475"/>
      <c r="T66" s="475"/>
      <c r="U66" s="475"/>
      <c r="V66" s="475"/>
      <c r="W66" s="475"/>
      <c r="X66" s="475"/>
      <c r="Y66" s="475"/>
      <c r="Z66" s="475"/>
      <c r="AA66" s="475"/>
      <c r="AB66" s="475"/>
    </row>
    <row r="67" spans="1:28" ht="28.5" customHeight="1" thickBot="1">
      <c r="A67" s="475"/>
      <c r="B67" s="475"/>
      <c r="C67" s="475"/>
      <c r="D67" s="475"/>
      <c r="E67" s="475"/>
      <c r="F67" s="475"/>
      <c r="G67" s="475"/>
      <c r="H67" s="495"/>
      <c r="I67" s="495"/>
      <c r="J67" s="475"/>
      <c r="K67" s="475"/>
      <c r="L67" s="475"/>
      <c r="M67" s="475"/>
      <c r="N67" s="475"/>
      <c r="O67" s="475"/>
      <c r="P67" s="475"/>
      <c r="Q67" s="475"/>
      <c r="R67" s="475"/>
      <c r="S67" s="475"/>
      <c r="T67" s="475"/>
      <c r="U67" s="475"/>
      <c r="V67" s="475"/>
      <c r="W67" s="475"/>
      <c r="X67" s="475"/>
      <c r="Y67" s="475"/>
      <c r="Z67" s="475"/>
      <c r="AA67" s="475"/>
      <c r="AB67" s="475"/>
    </row>
    <row r="68" spans="1:28" ht="28.5" customHeight="1" thickBot="1">
      <c r="A68" s="475"/>
      <c r="B68" s="475"/>
      <c r="C68" s="475"/>
      <c r="D68" s="475"/>
      <c r="E68" s="475"/>
      <c r="F68" s="475"/>
      <c r="G68" s="475"/>
      <c r="H68" s="495"/>
      <c r="I68" s="495"/>
      <c r="J68" s="475"/>
      <c r="K68" s="475"/>
      <c r="L68" s="475"/>
      <c r="M68" s="475"/>
      <c r="N68" s="475"/>
      <c r="O68" s="475"/>
      <c r="P68" s="475"/>
      <c r="Q68" s="475"/>
      <c r="R68" s="475"/>
      <c r="S68" s="475"/>
      <c r="T68" s="475"/>
      <c r="U68" s="475"/>
      <c r="V68" s="475"/>
      <c r="W68" s="475"/>
      <c r="X68" s="475"/>
      <c r="Y68" s="475"/>
      <c r="Z68" s="475"/>
      <c r="AA68" s="475"/>
      <c r="AB68" s="475"/>
    </row>
    <row r="69" spans="1:28" ht="28.5" customHeight="1" thickBot="1">
      <c r="A69" s="475"/>
      <c r="B69" s="475"/>
      <c r="C69" s="475"/>
      <c r="D69" s="475"/>
      <c r="E69" s="475"/>
      <c r="F69" s="475"/>
      <c r="G69" s="475"/>
      <c r="H69" s="495"/>
      <c r="I69" s="495"/>
      <c r="J69" s="475"/>
      <c r="K69" s="475"/>
      <c r="L69" s="475"/>
      <c r="M69" s="475"/>
      <c r="N69" s="475"/>
      <c r="O69" s="475"/>
      <c r="P69" s="475"/>
      <c r="Q69" s="475"/>
      <c r="R69" s="475"/>
      <c r="S69" s="475"/>
      <c r="T69" s="475"/>
      <c r="U69" s="475"/>
      <c r="V69" s="475"/>
      <c r="W69" s="475"/>
      <c r="X69" s="475"/>
      <c r="Y69" s="475"/>
      <c r="Z69" s="475"/>
      <c r="AA69" s="475"/>
      <c r="AB69" s="475"/>
    </row>
    <row r="70" spans="1:28" ht="28.5" customHeight="1" thickBot="1">
      <c r="A70" s="475"/>
      <c r="B70" s="475"/>
      <c r="C70" s="475"/>
      <c r="D70" s="475"/>
      <c r="E70" s="475"/>
      <c r="F70" s="475"/>
      <c r="G70" s="475"/>
      <c r="H70" s="495"/>
      <c r="I70" s="495"/>
      <c r="J70" s="475"/>
      <c r="K70" s="475"/>
      <c r="L70" s="475"/>
      <c r="M70" s="475"/>
      <c r="N70" s="475"/>
      <c r="O70" s="475"/>
      <c r="P70" s="475"/>
      <c r="Q70" s="475"/>
      <c r="R70" s="475"/>
      <c r="S70" s="475"/>
      <c r="T70" s="475"/>
      <c r="U70" s="475"/>
      <c r="V70" s="475"/>
      <c r="W70" s="475"/>
      <c r="X70" s="475"/>
      <c r="Y70" s="475"/>
      <c r="Z70" s="475"/>
      <c r="AA70" s="475"/>
      <c r="AB70" s="475"/>
    </row>
    <row r="71" spans="1:28" ht="28.5" customHeight="1" thickBot="1">
      <c r="A71" s="475"/>
      <c r="B71" s="475"/>
      <c r="C71" s="475"/>
      <c r="D71" s="475"/>
      <c r="E71" s="475"/>
      <c r="F71" s="475"/>
      <c r="G71" s="475"/>
      <c r="H71" s="495"/>
      <c r="I71" s="495"/>
      <c r="J71" s="475"/>
      <c r="K71" s="475"/>
      <c r="L71" s="475"/>
      <c r="M71" s="475"/>
      <c r="N71" s="475"/>
      <c r="O71" s="475"/>
      <c r="P71" s="475"/>
      <c r="Q71" s="475"/>
      <c r="R71" s="475"/>
      <c r="S71" s="475"/>
      <c r="T71" s="475"/>
      <c r="U71" s="475"/>
      <c r="V71" s="475"/>
      <c r="W71" s="475"/>
      <c r="X71" s="475"/>
      <c r="Y71" s="475"/>
      <c r="Z71" s="475"/>
      <c r="AA71" s="475"/>
      <c r="AB71" s="475"/>
    </row>
    <row r="72" spans="1:28" ht="28.5" customHeight="1" thickBot="1">
      <c r="A72" s="475"/>
      <c r="B72" s="475"/>
      <c r="C72" s="475"/>
      <c r="D72" s="475"/>
      <c r="E72" s="475"/>
      <c r="F72" s="475"/>
      <c r="G72" s="475"/>
      <c r="H72" s="495"/>
      <c r="I72" s="495"/>
      <c r="J72" s="475"/>
      <c r="K72" s="475"/>
      <c r="L72" s="475"/>
      <c r="M72" s="475"/>
      <c r="N72" s="475"/>
      <c r="O72" s="475"/>
      <c r="P72" s="475"/>
      <c r="Q72" s="475"/>
      <c r="R72" s="475"/>
      <c r="S72" s="475"/>
      <c r="T72" s="475"/>
      <c r="U72" s="475"/>
      <c r="V72" s="475"/>
      <c r="W72" s="475"/>
      <c r="X72" s="475"/>
      <c r="Y72" s="475"/>
      <c r="Z72" s="475"/>
      <c r="AA72" s="475"/>
      <c r="AB72" s="475"/>
    </row>
    <row r="73" spans="1:28" ht="28.5" customHeight="1" thickBot="1">
      <c r="A73" s="475"/>
      <c r="B73" s="475"/>
      <c r="C73" s="475"/>
      <c r="D73" s="475"/>
      <c r="E73" s="475"/>
      <c r="F73" s="475"/>
      <c r="G73" s="475"/>
      <c r="H73" s="495"/>
      <c r="I73" s="495"/>
      <c r="J73" s="475"/>
      <c r="K73" s="475"/>
      <c r="L73" s="475"/>
      <c r="M73" s="475"/>
      <c r="N73" s="475"/>
      <c r="O73" s="475"/>
      <c r="P73" s="475"/>
      <c r="Q73" s="475"/>
      <c r="R73" s="475"/>
      <c r="S73" s="475"/>
      <c r="T73" s="475"/>
      <c r="U73" s="475"/>
      <c r="V73" s="475"/>
      <c r="W73" s="475"/>
      <c r="X73" s="475"/>
      <c r="Y73" s="475"/>
      <c r="Z73" s="475"/>
      <c r="AA73" s="475"/>
      <c r="AB73" s="475"/>
    </row>
    <row r="74" spans="1:28" ht="28.5" customHeight="1" thickBot="1">
      <c r="A74" s="475"/>
      <c r="B74" s="475"/>
      <c r="C74" s="475"/>
      <c r="D74" s="475"/>
      <c r="E74" s="475"/>
      <c r="F74" s="475"/>
      <c r="G74" s="475"/>
      <c r="H74" s="495"/>
      <c r="I74" s="495"/>
      <c r="J74" s="475"/>
      <c r="K74" s="475"/>
      <c r="L74" s="475"/>
      <c r="M74" s="475"/>
      <c r="N74" s="475"/>
      <c r="O74" s="475"/>
      <c r="P74" s="475"/>
      <c r="Q74" s="475"/>
      <c r="R74" s="475"/>
      <c r="S74" s="475"/>
      <c r="T74" s="475"/>
      <c r="U74" s="475"/>
      <c r="V74" s="475"/>
      <c r="W74" s="475"/>
      <c r="X74" s="475"/>
      <c r="Y74" s="475"/>
      <c r="Z74" s="475"/>
      <c r="AA74" s="475"/>
      <c r="AB74" s="475"/>
    </row>
    <row r="75" spans="1:28" ht="28.5" customHeight="1" thickBot="1">
      <c r="A75" s="475"/>
      <c r="B75" s="475"/>
      <c r="C75" s="475"/>
      <c r="D75" s="475"/>
      <c r="E75" s="475"/>
      <c r="F75" s="475"/>
      <c r="G75" s="475"/>
      <c r="H75" s="495"/>
      <c r="I75" s="495"/>
      <c r="J75" s="475"/>
      <c r="K75" s="475"/>
      <c r="L75" s="475"/>
      <c r="M75" s="475"/>
      <c r="N75" s="475"/>
      <c r="O75" s="475"/>
      <c r="P75" s="475"/>
      <c r="Q75" s="475"/>
      <c r="R75" s="475"/>
      <c r="S75" s="475"/>
      <c r="T75" s="475"/>
      <c r="U75" s="475"/>
      <c r="V75" s="475"/>
      <c r="W75" s="475"/>
      <c r="X75" s="475"/>
      <c r="Y75" s="475"/>
      <c r="Z75" s="475"/>
      <c r="AA75" s="475"/>
      <c r="AB75" s="475"/>
    </row>
    <row r="76" spans="1:28" ht="28.5" customHeight="1" thickBot="1">
      <c r="A76" s="475"/>
      <c r="B76" s="475"/>
      <c r="C76" s="475"/>
      <c r="D76" s="475"/>
      <c r="E76" s="475"/>
      <c r="F76" s="475"/>
      <c r="G76" s="475"/>
      <c r="H76" s="495"/>
      <c r="I76" s="495"/>
      <c r="J76" s="475"/>
      <c r="K76" s="475"/>
      <c r="L76" s="475"/>
      <c r="M76" s="475"/>
      <c r="N76" s="475"/>
      <c r="O76" s="475"/>
      <c r="P76" s="475"/>
      <c r="Q76" s="475"/>
      <c r="R76" s="475"/>
      <c r="S76" s="475"/>
      <c r="T76" s="475"/>
      <c r="U76" s="475"/>
      <c r="V76" s="475"/>
      <c r="W76" s="475"/>
      <c r="X76" s="475"/>
      <c r="Y76" s="475"/>
      <c r="Z76" s="475"/>
      <c r="AA76" s="475"/>
      <c r="AB76" s="475"/>
    </row>
    <row r="77" spans="1:28" ht="28.5" customHeight="1" thickBot="1">
      <c r="A77" s="475"/>
      <c r="B77" s="475"/>
      <c r="C77" s="475"/>
      <c r="D77" s="475"/>
      <c r="E77" s="475"/>
      <c r="F77" s="475"/>
      <c r="G77" s="475"/>
      <c r="H77" s="495"/>
      <c r="I77" s="495"/>
      <c r="J77" s="475"/>
      <c r="K77" s="475"/>
      <c r="L77" s="475"/>
      <c r="M77" s="475"/>
      <c r="N77" s="475"/>
      <c r="O77" s="475"/>
      <c r="P77" s="475"/>
      <c r="Q77" s="475"/>
      <c r="R77" s="475"/>
      <c r="S77" s="475"/>
      <c r="T77" s="475"/>
      <c r="U77" s="475"/>
      <c r="V77" s="475"/>
      <c r="W77" s="475"/>
      <c r="X77" s="475"/>
      <c r="Y77" s="475"/>
      <c r="Z77" s="475"/>
      <c r="AA77" s="475"/>
      <c r="AB77" s="475"/>
    </row>
    <row r="78" spans="1:28" ht="28.5" customHeight="1" thickBot="1">
      <c r="A78" s="475"/>
      <c r="B78" s="475"/>
      <c r="C78" s="475"/>
      <c r="D78" s="475"/>
      <c r="E78" s="475"/>
      <c r="F78" s="475"/>
      <c r="G78" s="475"/>
      <c r="H78" s="495"/>
      <c r="I78" s="495"/>
      <c r="J78" s="475"/>
      <c r="K78" s="475"/>
      <c r="L78" s="475"/>
      <c r="M78" s="475"/>
      <c r="N78" s="475"/>
      <c r="O78" s="475"/>
      <c r="P78" s="475"/>
      <c r="Q78" s="475"/>
      <c r="R78" s="475"/>
      <c r="S78" s="475"/>
      <c r="T78" s="475"/>
      <c r="U78" s="475"/>
      <c r="V78" s="475"/>
      <c r="W78" s="475"/>
      <c r="X78" s="475"/>
      <c r="Y78" s="475"/>
      <c r="Z78" s="475"/>
      <c r="AA78" s="475"/>
      <c r="AB78" s="475"/>
    </row>
    <row r="79" spans="1:28" ht="28.5" customHeight="1" thickBot="1">
      <c r="A79" s="475"/>
      <c r="B79" s="475"/>
      <c r="C79" s="475"/>
      <c r="D79" s="475"/>
      <c r="E79" s="475"/>
      <c r="F79" s="475"/>
      <c r="G79" s="475"/>
      <c r="H79" s="495"/>
      <c r="I79" s="495"/>
      <c r="J79" s="475"/>
      <c r="K79" s="475"/>
      <c r="L79" s="475"/>
      <c r="M79" s="475"/>
      <c r="N79" s="475"/>
      <c r="O79" s="475"/>
      <c r="P79" s="475"/>
      <c r="Q79" s="475"/>
      <c r="R79" s="475"/>
      <c r="S79" s="475"/>
      <c r="T79" s="475"/>
      <c r="U79" s="475"/>
      <c r="V79" s="475"/>
      <c r="W79" s="475"/>
      <c r="X79" s="475"/>
      <c r="Y79" s="475"/>
      <c r="Z79" s="475"/>
      <c r="AA79" s="475"/>
      <c r="AB79" s="475"/>
    </row>
    <row r="80" spans="1:28" ht="28.5" customHeight="1" thickBot="1">
      <c r="A80" s="475"/>
      <c r="B80" s="475"/>
      <c r="C80" s="475"/>
      <c r="D80" s="475"/>
      <c r="E80" s="475"/>
      <c r="F80" s="475"/>
      <c r="G80" s="475"/>
      <c r="H80" s="495"/>
      <c r="I80" s="495"/>
      <c r="J80" s="475"/>
      <c r="K80" s="475"/>
      <c r="L80" s="475"/>
      <c r="M80" s="475"/>
      <c r="N80" s="475"/>
      <c r="O80" s="475"/>
      <c r="P80" s="475"/>
      <c r="Q80" s="475"/>
      <c r="R80" s="475"/>
      <c r="S80" s="475"/>
      <c r="T80" s="475"/>
      <c r="U80" s="475"/>
      <c r="V80" s="475"/>
      <c r="W80" s="475"/>
      <c r="X80" s="475"/>
      <c r="Y80" s="475"/>
      <c r="Z80" s="475"/>
      <c r="AA80" s="475"/>
      <c r="AB80" s="475"/>
    </row>
    <row r="81" spans="1:28" ht="28.5" customHeight="1" thickBot="1">
      <c r="A81" s="475"/>
      <c r="B81" s="475"/>
      <c r="C81" s="475"/>
      <c r="D81" s="475"/>
      <c r="E81" s="475"/>
      <c r="F81" s="475"/>
      <c r="G81" s="475"/>
      <c r="H81" s="495"/>
      <c r="I81" s="495"/>
      <c r="J81" s="475"/>
      <c r="K81" s="475"/>
      <c r="L81" s="475"/>
      <c r="M81" s="475"/>
      <c r="N81" s="475"/>
      <c r="O81" s="475"/>
      <c r="P81" s="475"/>
      <c r="Q81" s="475"/>
      <c r="R81" s="475"/>
      <c r="S81" s="475"/>
      <c r="T81" s="475"/>
      <c r="U81" s="475"/>
      <c r="V81" s="475"/>
      <c r="W81" s="475"/>
      <c r="X81" s="475"/>
      <c r="Y81" s="475"/>
      <c r="Z81" s="475"/>
      <c r="AA81" s="475"/>
      <c r="AB81" s="475"/>
    </row>
    <row r="82" spans="1:28" ht="28.5" customHeight="1" thickBot="1">
      <c r="A82" s="475"/>
      <c r="B82" s="475"/>
      <c r="C82" s="475"/>
      <c r="D82" s="475"/>
      <c r="E82" s="475"/>
      <c r="F82" s="475"/>
      <c r="G82" s="475"/>
      <c r="H82" s="495"/>
      <c r="I82" s="495"/>
      <c r="J82" s="475"/>
      <c r="K82" s="475"/>
      <c r="L82" s="475"/>
      <c r="M82" s="475"/>
      <c r="N82" s="475"/>
      <c r="O82" s="475"/>
      <c r="P82" s="475"/>
      <c r="Q82" s="475"/>
      <c r="R82" s="475"/>
      <c r="S82" s="475"/>
      <c r="T82" s="475"/>
      <c r="U82" s="475"/>
      <c r="V82" s="475"/>
      <c r="W82" s="475"/>
      <c r="X82" s="475"/>
      <c r="Y82" s="475"/>
      <c r="Z82" s="475"/>
      <c r="AA82" s="475"/>
      <c r="AB82" s="475"/>
    </row>
    <row r="83" spans="1:28" ht="28.5" customHeight="1" thickBot="1">
      <c r="A83" s="475"/>
      <c r="B83" s="475"/>
      <c r="C83" s="475"/>
      <c r="D83" s="475"/>
      <c r="E83" s="475"/>
      <c r="F83" s="475"/>
      <c r="G83" s="475"/>
      <c r="H83" s="495"/>
      <c r="I83" s="495"/>
      <c r="J83" s="475"/>
      <c r="K83" s="475"/>
      <c r="L83" s="475"/>
      <c r="M83" s="475"/>
      <c r="N83" s="475"/>
      <c r="O83" s="475"/>
      <c r="P83" s="475"/>
      <c r="Q83" s="475"/>
      <c r="R83" s="475"/>
      <c r="S83" s="475"/>
      <c r="T83" s="475"/>
      <c r="U83" s="475"/>
      <c r="V83" s="475"/>
      <c r="W83" s="475"/>
      <c r="X83" s="475"/>
      <c r="Y83" s="475"/>
      <c r="Z83" s="475"/>
      <c r="AA83" s="475"/>
      <c r="AB83" s="475"/>
    </row>
    <row r="84" spans="1:28" ht="28.5" customHeight="1" thickBot="1">
      <c r="A84" s="475"/>
      <c r="B84" s="475"/>
      <c r="C84" s="475"/>
      <c r="D84" s="475"/>
      <c r="E84" s="475"/>
      <c r="F84" s="475"/>
      <c r="G84" s="475"/>
      <c r="H84" s="495"/>
      <c r="I84" s="495"/>
      <c r="J84" s="475"/>
      <c r="K84" s="475"/>
      <c r="L84" s="475"/>
      <c r="M84" s="475"/>
      <c r="N84" s="475"/>
      <c r="O84" s="475"/>
      <c r="P84" s="475"/>
      <c r="Q84" s="475"/>
      <c r="R84" s="475"/>
      <c r="S84" s="475"/>
      <c r="T84" s="475"/>
      <c r="U84" s="475"/>
      <c r="V84" s="475"/>
      <c r="W84" s="475"/>
      <c r="X84" s="475"/>
      <c r="Y84" s="475"/>
      <c r="Z84" s="475"/>
      <c r="AA84" s="475"/>
      <c r="AB84" s="475"/>
    </row>
    <row r="85" spans="1:28" ht="28.5" customHeight="1" thickBot="1">
      <c r="A85" s="475"/>
      <c r="B85" s="475"/>
      <c r="C85" s="475"/>
      <c r="D85" s="475"/>
      <c r="E85" s="475"/>
      <c r="F85" s="475"/>
      <c r="G85" s="475"/>
      <c r="H85" s="495"/>
      <c r="I85" s="495"/>
      <c r="J85" s="475"/>
      <c r="K85" s="475"/>
      <c r="L85" s="475"/>
      <c r="M85" s="475"/>
      <c r="N85" s="475"/>
      <c r="O85" s="475"/>
      <c r="P85" s="475"/>
      <c r="Q85" s="475"/>
      <c r="R85" s="475"/>
      <c r="S85" s="475"/>
      <c r="T85" s="475"/>
      <c r="U85" s="475"/>
      <c r="V85" s="475"/>
      <c r="W85" s="475"/>
      <c r="X85" s="475"/>
      <c r="Y85" s="475"/>
      <c r="Z85" s="475"/>
      <c r="AA85" s="475"/>
      <c r="AB85" s="475"/>
    </row>
    <row r="86" spans="1:28" ht="28.5" customHeight="1" thickBot="1">
      <c r="A86" s="475"/>
      <c r="B86" s="475"/>
      <c r="C86" s="475"/>
      <c r="D86" s="475"/>
      <c r="E86" s="475"/>
      <c r="F86" s="475"/>
      <c r="G86" s="475"/>
      <c r="H86" s="495"/>
      <c r="I86" s="495"/>
      <c r="J86" s="475"/>
      <c r="K86" s="475"/>
      <c r="L86" s="475"/>
      <c r="M86" s="475"/>
      <c r="N86" s="475"/>
      <c r="O86" s="475"/>
      <c r="P86" s="475"/>
      <c r="Q86" s="475"/>
      <c r="R86" s="475"/>
      <c r="S86" s="475"/>
      <c r="T86" s="475"/>
      <c r="U86" s="475"/>
      <c r="V86" s="475"/>
      <c r="W86" s="475"/>
      <c r="X86" s="475"/>
      <c r="Y86" s="475"/>
      <c r="Z86" s="475"/>
      <c r="AA86" s="475"/>
      <c r="AB86" s="475"/>
    </row>
    <row r="87" spans="1:28" ht="28.5" customHeight="1" thickBot="1">
      <c r="A87" s="475"/>
      <c r="B87" s="475"/>
      <c r="C87" s="475"/>
      <c r="D87" s="475"/>
      <c r="E87" s="475"/>
      <c r="F87" s="475"/>
      <c r="G87" s="475"/>
      <c r="H87" s="495"/>
      <c r="I87" s="495"/>
      <c r="J87" s="475"/>
      <c r="K87" s="475"/>
      <c r="L87" s="475"/>
      <c r="M87" s="475"/>
      <c r="N87" s="475"/>
      <c r="O87" s="475"/>
      <c r="P87" s="475"/>
      <c r="Q87" s="475"/>
      <c r="R87" s="475"/>
      <c r="S87" s="475"/>
      <c r="T87" s="475"/>
      <c r="U87" s="475"/>
      <c r="V87" s="475"/>
      <c r="W87" s="475"/>
      <c r="X87" s="475"/>
      <c r="Y87" s="475"/>
      <c r="Z87" s="475"/>
      <c r="AA87" s="475"/>
      <c r="AB87" s="475"/>
    </row>
    <row r="88" spans="1:28" ht="28.5" customHeight="1" thickBot="1">
      <c r="A88" s="475"/>
      <c r="B88" s="475"/>
      <c r="C88" s="475"/>
      <c r="D88" s="475"/>
      <c r="E88" s="475"/>
      <c r="F88" s="475"/>
      <c r="G88" s="475"/>
      <c r="H88" s="495"/>
      <c r="I88" s="495"/>
      <c r="J88" s="475"/>
      <c r="K88" s="475"/>
      <c r="L88" s="475"/>
      <c r="M88" s="475"/>
      <c r="N88" s="475"/>
      <c r="O88" s="475"/>
      <c r="P88" s="475"/>
      <c r="Q88" s="475"/>
      <c r="R88" s="475"/>
      <c r="S88" s="475"/>
      <c r="T88" s="475"/>
      <c r="U88" s="475"/>
      <c r="V88" s="475"/>
      <c r="W88" s="475"/>
      <c r="X88" s="475"/>
      <c r="Y88" s="475"/>
      <c r="Z88" s="475"/>
      <c r="AA88" s="475"/>
      <c r="AB88" s="475"/>
    </row>
    <row r="89" spans="1:28" ht="28.5" customHeight="1" thickBot="1">
      <c r="A89" s="475"/>
      <c r="B89" s="475"/>
      <c r="C89" s="475"/>
      <c r="D89" s="475"/>
      <c r="E89" s="475"/>
      <c r="F89" s="475"/>
      <c r="G89" s="475"/>
      <c r="H89" s="495"/>
      <c r="I89" s="495"/>
      <c r="J89" s="475"/>
      <c r="K89" s="475"/>
      <c r="L89" s="475"/>
      <c r="M89" s="475"/>
      <c r="N89" s="475"/>
      <c r="O89" s="475"/>
      <c r="P89" s="475"/>
      <c r="Q89" s="475"/>
      <c r="R89" s="475"/>
      <c r="S89" s="475"/>
      <c r="T89" s="475"/>
      <c r="U89" s="475"/>
      <c r="V89" s="475"/>
      <c r="W89" s="475"/>
      <c r="X89" s="475"/>
      <c r="Y89" s="475"/>
      <c r="Z89" s="475"/>
      <c r="AA89" s="475"/>
      <c r="AB89" s="475"/>
    </row>
    <row r="90" spans="1:28" ht="28.5" customHeight="1" thickBot="1">
      <c r="A90" s="475"/>
      <c r="B90" s="475"/>
      <c r="C90" s="475"/>
      <c r="D90" s="475"/>
      <c r="E90" s="475"/>
      <c r="F90" s="475"/>
      <c r="G90" s="475"/>
      <c r="H90" s="495"/>
      <c r="I90" s="495"/>
      <c r="J90" s="475"/>
      <c r="K90" s="475"/>
      <c r="L90" s="475"/>
      <c r="M90" s="475"/>
      <c r="N90" s="475"/>
      <c r="O90" s="475"/>
      <c r="P90" s="475"/>
      <c r="Q90" s="475"/>
      <c r="R90" s="475"/>
      <c r="S90" s="475"/>
      <c r="T90" s="475"/>
      <c r="U90" s="475"/>
      <c r="V90" s="475"/>
      <c r="W90" s="475"/>
      <c r="X90" s="475"/>
      <c r="Y90" s="475"/>
      <c r="Z90" s="475"/>
      <c r="AA90" s="475"/>
      <c r="AB90" s="475"/>
    </row>
    <row r="91" spans="1:28" ht="28.5" customHeight="1" thickBot="1">
      <c r="A91" s="475"/>
      <c r="B91" s="475"/>
      <c r="C91" s="475"/>
      <c r="D91" s="475"/>
      <c r="E91" s="475"/>
      <c r="F91" s="475"/>
      <c r="G91" s="475"/>
      <c r="H91" s="495"/>
      <c r="I91" s="495"/>
      <c r="J91" s="475"/>
      <c r="K91" s="475"/>
      <c r="L91" s="475"/>
      <c r="M91" s="475"/>
      <c r="N91" s="475"/>
      <c r="O91" s="475"/>
      <c r="P91" s="475"/>
      <c r="Q91" s="475"/>
      <c r="R91" s="475"/>
      <c r="S91" s="475"/>
      <c r="T91" s="475"/>
      <c r="U91" s="475"/>
      <c r="V91" s="475"/>
      <c r="W91" s="475"/>
      <c r="X91" s="475"/>
      <c r="Y91" s="475"/>
      <c r="Z91" s="475"/>
      <c r="AA91" s="475"/>
      <c r="AB91" s="475"/>
    </row>
    <row r="92" spans="1:28" ht="28.5" customHeight="1" thickBot="1">
      <c r="A92" s="475"/>
      <c r="B92" s="475"/>
      <c r="C92" s="475"/>
      <c r="D92" s="475"/>
      <c r="E92" s="475"/>
      <c r="F92" s="475"/>
      <c r="G92" s="475"/>
      <c r="H92" s="495"/>
      <c r="I92" s="495"/>
      <c r="J92" s="475"/>
      <c r="K92" s="475"/>
      <c r="L92" s="475"/>
      <c r="M92" s="475"/>
      <c r="N92" s="475"/>
      <c r="O92" s="475"/>
      <c r="P92" s="475"/>
      <c r="Q92" s="475"/>
      <c r="R92" s="475"/>
      <c r="S92" s="475"/>
      <c r="T92" s="475"/>
      <c r="U92" s="475"/>
      <c r="V92" s="475"/>
      <c r="W92" s="475"/>
      <c r="X92" s="475"/>
      <c r="Y92" s="475"/>
      <c r="Z92" s="475"/>
      <c r="AA92" s="475"/>
      <c r="AB92" s="475"/>
    </row>
    <row r="93" spans="1:28" ht="28.5" customHeight="1" thickBot="1">
      <c r="A93" s="475"/>
      <c r="B93" s="475"/>
      <c r="C93" s="475"/>
      <c r="D93" s="475"/>
      <c r="E93" s="475"/>
      <c r="F93" s="475"/>
      <c r="G93" s="475"/>
      <c r="H93" s="495"/>
      <c r="I93" s="495"/>
      <c r="J93" s="475"/>
      <c r="K93" s="475"/>
      <c r="L93" s="475"/>
      <c r="M93" s="475"/>
      <c r="N93" s="475"/>
      <c r="O93" s="475"/>
      <c r="P93" s="475"/>
      <c r="Q93" s="475"/>
      <c r="R93" s="475"/>
      <c r="S93" s="475"/>
      <c r="T93" s="475"/>
      <c r="U93" s="475"/>
      <c r="V93" s="475"/>
      <c r="W93" s="475"/>
      <c r="X93" s="475"/>
      <c r="Y93" s="475"/>
      <c r="Z93" s="475"/>
      <c r="AA93" s="475"/>
      <c r="AB93" s="475"/>
    </row>
    <row r="94" spans="1:28" ht="28.5" customHeight="1" thickBot="1">
      <c r="A94" s="475"/>
      <c r="B94" s="475"/>
      <c r="C94" s="475"/>
      <c r="D94" s="475"/>
      <c r="E94" s="475"/>
      <c r="F94" s="475"/>
      <c r="G94" s="475"/>
      <c r="H94" s="495"/>
      <c r="I94" s="495"/>
      <c r="J94" s="475"/>
      <c r="K94" s="475"/>
      <c r="L94" s="475"/>
      <c r="M94" s="475"/>
      <c r="N94" s="475"/>
      <c r="O94" s="475"/>
      <c r="P94" s="475"/>
      <c r="Q94" s="475"/>
      <c r="R94" s="475"/>
      <c r="S94" s="475"/>
      <c r="T94" s="475"/>
      <c r="U94" s="475"/>
      <c r="V94" s="475"/>
      <c r="W94" s="475"/>
      <c r="X94" s="475"/>
      <c r="Y94" s="475"/>
      <c r="Z94" s="475"/>
      <c r="AA94" s="475"/>
      <c r="AB94" s="475"/>
    </row>
    <row r="95" spans="1:28" ht="28.5" customHeight="1" thickBot="1">
      <c r="A95" s="475"/>
      <c r="B95" s="475"/>
      <c r="C95" s="475"/>
      <c r="D95" s="475"/>
      <c r="E95" s="475"/>
      <c r="F95" s="475"/>
      <c r="G95" s="475"/>
      <c r="H95" s="495"/>
      <c r="I95" s="495"/>
      <c r="J95" s="475"/>
      <c r="K95" s="475"/>
      <c r="L95" s="475"/>
      <c r="M95" s="475"/>
      <c r="N95" s="475"/>
      <c r="O95" s="475"/>
      <c r="P95" s="475"/>
      <c r="Q95" s="475"/>
      <c r="R95" s="475"/>
      <c r="S95" s="475"/>
      <c r="T95" s="475"/>
      <c r="U95" s="475"/>
      <c r="V95" s="475"/>
      <c r="W95" s="475"/>
      <c r="X95" s="475"/>
      <c r="Y95" s="475"/>
      <c r="Z95" s="475"/>
      <c r="AA95" s="475"/>
      <c r="AB95" s="475"/>
    </row>
    <row r="96" spans="1:28" ht="28.5" customHeight="1" thickBot="1">
      <c r="A96" s="475"/>
      <c r="B96" s="475"/>
      <c r="C96" s="475"/>
      <c r="D96" s="475"/>
      <c r="E96" s="475"/>
      <c r="F96" s="475"/>
      <c r="G96" s="475"/>
      <c r="H96" s="495"/>
      <c r="I96" s="495"/>
      <c r="J96" s="475"/>
      <c r="K96" s="475"/>
      <c r="L96" s="475"/>
      <c r="M96" s="475"/>
      <c r="N96" s="475"/>
      <c r="O96" s="475"/>
      <c r="P96" s="475"/>
      <c r="Q96" s="475"/>
      <c r="R96" s="475"/>
      <c r="S96" s="475"/>
      <c r="T96" s="475"/>
      <c r="U96" s="475"/>
      <c r="V96" s="475"/>
      <c r="W96" s="475"/>
      <c r="X96" s="475"/>
      <c r="Y96" s="475"/>
      <c r="Z96" s="475"/>
      <c r="AA96" s="475"/>
      <c r="AB96" s="475"/>
    </row>
    <row r="97" spans="1:28" ht="28.5" customHeight="1" thickBot="1">
      <c r="A97" s="475"/>
      <c r="B97" s="475"/>
      <c r="C97" s="475"/>
      <c r="D97" s="475"/>
      <c r="E97" s="475"/>
      <c r="F97" s="475"/>
      <c r="G97" s="475"/>
      <c r="H97" s="495"/>
      <c r="I97" s="495"/>
      <c r="J97" s="475"/>
      <c r="K97" s="475"/>
      <c r="L97" s="475"/>
      <c r="M97" s="475"/>
      <c r="N97" s="475"/>
      <c r="O97" s="475"/>
      <c r="P97" s="475"/>
      <c r="Q97" s="475"/>
      <c r="R97" s="475"/>
      <c r="S97" s="475"/>
      <c r="T97" s="475"/>
      <c r="U97" s="475"/>
      <c r="V97" s="475"/>
      <c r="W97" s="475"/>
      <c r="X97" s="475"/>
      <c r="Y97" s="475"/>
      <c r="Z97" s="475"/>
      <c r="AA97" s="475"/>
      <c r="AB97" s="475"/>
    </row>
    <row r="98" spans="1:28" ht="28.5" customHeight="1" thickBot="1">
      <c r="A98" s="475"/>
      <c r="B98" s="475"/>
      <c r="C98" s="475"/>
      <c r="D98" s="475"/>
      <c r="E98" s="475"/>
      <c r="F98" s="475"/>
      <c r="G98" s="475"/>
      <c r="H98" s="495"/>
      <c r="I98" s="495"/>
      <c r="J98" s="475"/>
      <c r="K98" s="475"/>
      <c r="L98" s="475"/>
      <c r="M98" s="475"/>
      <c r="N98" s="475"/>
      <c r="O98" s="475"/>
      <c r="P98" s="475"/>
      <c r="Q98" s="475"/>
      <c r="R98" s="475"/>
      <c r="S98" s="475"/>
      <c r="T98" s="475"/>
      <c r="U98" s="475"/>
      <c r="V98" s="475"/>
      <c r="W98" s="475"/>
      <c r="X98" s="475"/>
      <c r="Y98" s="475"/>
      <c r="Z98" s="475"/>
      <c r="AA98" s="475"/>
      <c r="AB98" s="475"/>
    </row>
    <row r="99" spans="1:28" ht="28.5" customHeight="1" thickBot="1">
      <c r="A99" s="475"/>
      <c r="B99" s="475"/>
      <c r="C99" s="475"/>
      <c r="D99" s="475"/>
      <c r="E99" s="475"/>
      <c r="F99" s="475"/>
      <c r="G99" s="475"/>
      <c r="H99" s="495"/>
      <c r="I99" s="495"/>
      <c r="J99" s="475"/>
      <c r="K99" s="475"/>
      <c r="L99" s="475"/>
      <c r="M99" s="475"/>
      <c r="N99" s="475"/>
      <c r="O99" s="475"/>
      <c r="P99" s="475"/>
      <c r="Q99" s="475"/>
      <c r="R99" s="475"/>
      <c r="S99" s="475"/>
      <c r="T99" s="475"/>
      <c r="U99" s="475"/>
      <c r="V99" s="475"/>
      <c r="W99" s="475"/>
      <c r="X99" s="475"/>
      <c r="Y99" s="475"/>
      <c r="Z99" s="475"/>
      <c r="AA99" s="475"/>
      <c r="AB99" s="475"/>
    </row>
    <row r="100" spans="1:28" ht="28.5" customHeight="1" thickBot="1">
      <c r="A100" s="475"/>
      <c r="B100" s="475"/>
      <c r="C100" s="475"/>
      <c r="D100" s="475"/>
      <c r="E100" s="475"/>
      <c r="F100" s="475"/>
      <c r="G100" s="475"/>
      <c r="H100" s="495"/>
      <c r="I100" s="495"/>
      <c r="J100" s="475"/>
      <c r="K100" s="475"/>
      <c r="L100" s="475"/>
      <c r="M100" s="475"/>
      <c r="N100" s="475"/>
      <c r="O100" s="475"/>
      <c r="P100" s="475"/>
      <c r="Q100" s="475"/>
      <c r="R100" s="475"/>
      <c r="S100" s="475"/>
      <c r="T100" s="475"/>
      <c r="U100" s="475"/>
      <c r="V100" s="475"/>
      <c r="W100" s="475"/>
      <c r="X100" s="475"/>
      <c r="Y100" s="475"/>
      <c r="Z100" s="475"/>
      <c r="AA100" s="475"/>
      <c r="AB100" s="475"/>
    </row>
    <row r="101" spans="1:28" ht="28.5" customHeight="1" thickBot="1">
      <c r="A101" s="475"/>
      <c r="B101" s="475"/>
      <c r="C101" s="475"/>
      <c r="D101" s="475"/>
      <c r="E101" s="475"/>
      <c r="F101" s="475"/>
      <c r="G101" s="475"/>
      <c r="H101" s="495"/>
      <c r="I101" s="495"/>
      <c r="J101" s="475"/>
      <c r="K101" s="475"/>
      <c r="L101" s="475"/>
      <c r="M101" s="475"/>
      <c r="N101" s="475"/>
      <c r="O101" s="475"/>
      <c r="P101" s="475"/>
      <c r="Q101" s="475"/>
      <c r="R101" s="475"/>
      <c r="S101" s="475"/>
      <c r="T101" s="475"/>
      <c r="U101" s="475"/>
      <c r="V101" s="475"/>
      <c r="W101" s="475"/>
      <c r="X101" s="475"/>
      <c r="Y101" s="475"/>
      <c r="Z101" s="475"/>
      <c r="AA101" s="475"/>
      <c r="AB101" s="475"/>
    </row>
    <row r="102" spans="1:28" ht="28.5" customHeight="1" thickBot="1">
      <c r="A102" s="475"/>
      <c r="B102" s="475"/>
      <c r="C102" s="475"/>
      <c r="D102" s="475"/>
      <c r="E102" s="475"/>
      <c r="F102" s="475"/>
      <c r="G102" s="475"/>
      <c r="H102" s="495"/>
      <c r="I102" s="495"/>
      <c r="J102" s="475"/>
      <c r="K102" s="475"/>
      <c r="L102" s="475"/>
      <c r="M102" s="475"/>
      <c r="N102" s="475"/>
      <c r="O102" s="475"/>
      <c r="P102" s="475"/>
      <c r="Q102" s="475"/>
      <c r="R102" s="475"/>
      <c r="S102" s="475"/>
      <c r="T102" s="475"/>
      <c r="U102" s="475"/>
      <c r="V102" s="475"/>
      <c r="W102" s="475"/>
      <c r="X102" s="475"/>
      <c r="Y102" s="475"/>
      <c r="Z102" s="475"/>
      <c r="AA102" s="475"/>
      <c r="AB102" s="475"/>
    </row>
    <row r="103" spans="1:28" ht="28.5" customHeight="1" thickBot="1">
      <c r="A103" s="475"/>
      <c r="B103" s="475"/>
      <c r="C103" s="475"/>
      <c r="D103" s="475"/>
      <c r="E103" s="475"/>
      <c r="F103" s="475"/>
      <c r="G103" s="475"/>
      <c r="H103" s="495"/>
      <c r="I103" s="495"/>
      <c r="J103" s="475"/>
      <c r="K103" s="475"/>
      <c r="L103" s="475"/>
      <c r="M103" s="475"/>
      <c r="N103" s="475"/>
      <c r="O103" s="475"/>
      <c r="P103" s="475"/>
      <c r="Q103" s="475"/>
      <c r="R103" s="475"/>
      <c r="S103" s="475"/>
      <c r="T103" s="475"/>
      <c r="U103" s="475"/>
      <c r="V103" s="475"/>
      <c r="W103" s="475"/>
      <c r="X103" s="475"/>
      <c r="Y103" s="475"/>
      <c r="Z103" s="475"/>
      <c r="AA103" s="475"/>
      <c r="AB103" s="475"/>
    </row>
    <row r="104" spans="1:28" ht="28.5" customHeight="1" thickBot="1">
      <c r="A104" s="475"/>
      <c r="B104" s="475"/>
      <c r="C104" s="475"/>
      <c r="D104" s="475"/>
      <c r="E104" s="475"/>
      <c r="F104" s="475"/>
      <c r="G104" s="475"/>
      <c r="H104" s="495"/>
      <c r="I104" s="495"/>
      <c r="J104" s="475"/>
      <c r="K104" s="475"/>
      <c r="L104" s="475"/>
      <c r="M104" s="475"/>
      <c r="N104" s="475"/>
      <c r="O104" s="475"/>
      <c r="P104" s="475"/>
      <c r="Q104" s="475"/>
      <c r="R104" s="475"/>
      <c r="S104" s="475"/>
      <c r="T104" s="475"/>
      <c r="U104" s="475"/>
      <c r="V104" s="475"/>
      <c r="W104" s="475"/>
      <c r="X104" s="475"/>
      <c r="Y104" s="475"/>
      <c r="Z104" s="475"/>
      <c r="AA104" s="475"/>
      <c r="AB104" s="475"/>
    </row>
    <row r="105" spans="1:28" ht="28.5" customHeight="1" thickBot="1">
      <c r="A105" s="475"/>
      <c r="B105" s="475"/>
      <c r="C105" s="475"/>
      <c r="D105" s="475"/>
      <c r="E105" s="475"/>
      <c r="F105" s="475"/>
      <c r="G105" s="475"/>
      <c r="H105" s="495"/>
      <c r="I105" s="495"/>
      <c r="J105" s="475"/>
      <c r="K105" s="475"/>
      <c r="L105" s="475"/>
      <c r="M105" s="475"/>
      <c r="N105" s="475"/>
      <c r="O105" s="475"/>
      <c r="P105" s="475"/>
      <c r="Q105" s="475"/>
      <c r="R105" s="475"/>
      <c r="S105" s="475"/>
      <c r="T105" s="475"/>
      <c r="U105" s="475"/>
      <c r="V105" s="475"/>
      <c r="W105" s="475"/>
      <c r="X105" s="475"/>
      <c r="Y105" s="475"/>
      <c r="Z105" s="475"/>
      <c r="AA105" s="475"/>
      <c r="AB105" s="475"/>
    </row>
    <row r="106" spans="1:28" ht="28.5" customHeight="1" thickBot="1">
      <c r="A106" s="475"/>
      <c r="B106" s="475"/>
      <c r="C106" s="475"/>
      <c r="D106" s="475"/>
      <c r="E106" s="475"/>
      <c r="F106" s="475"/>
      <c r="G106" s="475"/>
      <c r="H106" s="495"/>
      <c r="I106" s="495"/>
      <c r="J106" s="475"/>
      <c r="K106" s="475"/>
      <c r="L106" s="475"/>
      <c r="M106" s="475"/>
      <c r="N106" s="475"/>
      <c r="O106" s="475"/>
      <c r="P106" s="475"/>
      <c r="Q106" s="475"/>
      <c r="R106" s="475"/>
      <c r="S106" s="475"/>
      <c r="T106" s="475"/>
      <c r="U106" s="475"/>
      <c r="V106" s="475"/>
      <c r="W106" s="475"/>
      <c r="X106" s="475"/>
      <c r="Y106" s="475"/>
      <c r="Z106" s="475"/>
      <c r="AA106" s="475"/>
      <c r="AB106" s="475"/>
    </row>
    <row r="107" spans="1:28" ht="28.5" customHeight="1" thickBot="1">
      <c r="A107" s="475"/>
      <c r="B107" s="475"/>
      <c r="C107" s="475"/>
      <c r="D107" s="475"/>
      <c r="E107" s="475"/>
      <c r="F107" s="475"/>
      <c r="G107" s="475"/>
      <c r="H107" s="495"/>
      <c r="I107" s="495"/>
      <c r="J107" s="475"/>
      <c r="K107" s="475"/>
      <c r="L107" s="475"/>
      <c r="M107" s="475"/>
      <c r="N107" s="475"/>
      <c r="O107" s="475"/>
      <c r="P107" s="475"/>
      <c r="Q107" s="475"/>
      <c r="R107" s="475"/>
      <c r="S107" s="475"/>
      <c r="T107" s="475"/>
      <c r="U107" s="475"/>
      <c r="V107" s="475"/>
      <c r="W107" s="475"/>
      <c r="X107" s="475"/>
      <c r="Y107" s="475"/>
      <c r="Z107" s="475"/>
      <c r="AA107" s="475"/>
      <c r="AB107" s="475"/>
    </row>
    <row r="108" spans="1:28" ht="28.5" customHeight="1" thickBot="1">
      <c r="A108" s="475"/>
      <c r="B108" s="475"/>
      <c r="C108" s="475"/>
      <c r="D108" s="475"/>
      <c r="E108" s="475"/>
      <c r="F108" s="475"/>
      <c r="G108" s="475"/>
      <c r="H108" s="495"/>
      <c r="I108" s="495"/>
      <c r="J108" s="475"/>
      <c r="K108" s="475"/>
      <c r="L108" s="475"/>
      <c r="M108" s="475"/>
      <c r="N108" s="475"/>
      <c r="O108" s="475"/>
      <c r="P108" s="475"/>
      <c r="Q108" s="475"/>
      <c r="R108" s="475"/>
      <c r="S108" s="475"/>
      <c r="T108" s="475"/>
      <c r="U108" s="475"/>
      <c r="V108" s="475"/>
      <c r="W108" s="475"/>
      <c r="X108" s="475"/>
      <c r="Y108" s="475"/>
      <c r="Z108" s="475"/>
      <c r="AA108" s="475"/>
      <c r="AB108" s="475"/>
    </row>
    <row r="109" spans="1:28" ht="28.5" customHeight="1" thickBot="1">
      <c r="A109" s="475"/>
      <c r="B109" s="475"/>
      <c r="C109" s="475"/>
      <c r="D109" s="475"/>
      <c r="E109" s="475"/>
      <c r="F109" s="475"/>
      <c r="G109" s="475"/>
      <c r="H109" s="495"/>
      <c r="I109" s="495"/>
      <c r="J109" s="475"/>
      <c r="K109" s="475"/>
      <c r="L109" s="475"/>
      <c r="M109" s="475"/>
      <c r="N109" s="475"/>
      <c r="O109" s="475"/>
      <c r="P109" s="475"/>
      <c r="Q109" s="475"/>
      <c r="R109" s="475"/>
      <c r="S109" s="475"/>
      <c r="T109" s="475"/>
      <c r="U109" s="475"/>
      <c r="V109" s="475"/>
      <c r="W109" s="475"/>
      <c r="X109" s="475"/>
      <c r="Y109" s="475"/>
      <c r="Z109" s="475"/>
      <c r="AA109" s="475"/>
      <c r="AB109" s="475"/>
    </row>
    <row r="110" spans="1:28" ht="28.5" customHeight="1" thickBot="1">
      <c r="A110" s="475"/>
      <c r="B110" s="475"/>
      <c r="C110" s="475"/>
      <c r="D110" s="475"/>
      <c r="E110" s="475"/>
      <c r="F110" s="475"/>
      <c r="G110" s="475"/>
      <c r="H110" s="495"/>
      <c r="I110" s="495"/>
      <c r="J110" s="475"/>
      <c r="K110" s="475"/>
      <c r="L110" s="475"/>
      <c r="M110" s="475"/>
      <c r="N110" s="475"/>
      <c r="O110" s="475"/>
      <c r="P110" s="475"/>
      <c r="Q110" s="475"/>
      <c r="R110" s="475"/>
      <c r="S110" s="475"/>
      <c r="T110" s="475"/>
      <c r="U110" s="475"/>
      <c r="V110" s="475"/>
      <c r="W110" s="475"/>
      <c r="X110" s="475"/>
      <c r="Y110" s="475"/>
      <c r="Z110" s="475"/>
      <c r="AA110" s="475"/>
      <c r="AB110" s="475"/>
    </row>
    <row r="111" spans="1:28" ht="28.5" customHeight="1" thickBot="1">
      <c r="A111" s="475"/>
      <c r="B111" s="475"/>
      <c r="C111" s="475"/>
      <c r="D111" s="475"/>
      <c r="E111" s="475"/>
      <c r="F111" s="475"/>
      <c r="G111" s="475"/>
      <c r="H111" s="495"/>
      <c r="I111" s="495"/>
      <c r="J111" s="475"/>
      <c r="K111" s="475"/>
      <c r="L111" s="475"/>
      <c r="M111" s="475"/>
      <c r="N111" s="475"/>
      <c r="O111" s="475"/>
      <c r="P111" s="475"/>
      <c r="Q111" s="475"/>
      <c r="R111" s="475"/>
      <c r="S111" s="475"/>
      <c r="T111" s="475"/>
      <c r="U111" s="475"/>
      <c r="V111" s="475"/>
      <c r="W111" s="475"/>
      <c r="X111" s="475"/>
      <c r="Y111" s="475"/>
      <c r="Z111" s="475"/>
      <c r="AA111" s="475"/>
      <c r="AB111" s="475"/>
    </row>
    <row r="112" spans="1:28" ht="28.5" customHeight="1" thickBot="1">
      <c r="A112" s="475"/>
      <c r="B112" s="475"/>
      <c r="C112" s="475"/>
      <c r="D112" s="475"/>
      <c r="E112" s="475"/>
      <c r="F112" s="475"/>
      <c r="G112" s="475"/>
      <c r="H112" s="495"/>
      <c r="I112" s="495"/>
      <c r="J112" s="475"/>
      <c r="K112" s="475"/>
      <c r="L112" s="475"/>
      <c r="M112" s="475"/>
      <c r="N112" s="475"/>
      <c r="O112" s="475"/>
      <c r="P112" s="475"/>
      <c r="Q112" s="475"/>
      <c r="R112" s="475"/>
      <c r="S112" s="475"/>
      <c r="T112" s="475"/>
      <c r="U112" s="475"/>
      <c r="V112" s="475"/>
      <c r="W112" s="475"/>
      <c r="X112" s="475"/>
      <c r="Y112" s="475"/>
      <c r="Z112" s="475"/>
      <c r="AA112" s="475"/>
      <c r="AB112" s="475"/>
    </row>
    <row r="113" spans="1:28" ht="28.5" customHeight="1" thickBot="1">
      <c r="A113" s="475"/>
      <c r="B113" s="475"/>
      <c r="C113" s="475"/>
      <c r="D113" s="475"/>
      <c r="E113" s="475"/>
      <c r="F113" s="475"/>
      <c r="G113" s="475"/>
      <c r="H113" s="495"/>
      <c r="I113" s="495"/>
      <c r="J113" s="475"/>
      <c r="K113" s="475"/>
      <c r="L113" s="475"/>
      <c r="M113" s="475"/>
      <c r="N113" s="475"/>
      <c r="O113" s="475"/>
      <c r="P113" s="475"/>
      <c r="Q113" s="475"/>
      <c r="R113" s="475"/>
      <c r="S113" s="475"/>
      <c r="T113" s="475"/>
      <c r="U113" s="475"/>
      <c r="V113" s="475"/>
      <c r="W113" s="475"/>
      <c r="X113" s="475"/>
      <c r="Y113" s="475"/>
      <c r="Z113" s="475"/>
      <c r="AA113" s="475"/>
      <c r="AB113" s="475"/>
    </row>
    <row r="114" spans="1:28" ht="28.5" customHeight="1" thickBot="1">
      <c r="A114" s="475"/>
      <c r="B114" s="475"/>
      <c r="C114" s="475"/>
      <c r="D114" s="475"/>
      <c r="E114" s="475"/>
      <c r="F114" s="475"/>
      <c r="G114" s="475"/>
      <c r="H114" s="495"/>
      <c r="I114" s="495"/>
      <c r="J114" s="475"/>
      <c r="K114" s="475"/>
      <c r="L114" s="475"/>
      <c r="M114" s="475"/>
      <c r="N114" s="475"/>
      <c r="O114" s="475"/>
      <c r="P114" s="475"/>
      <c r="Q114" s="475"/>
      <c r="R114" s="475"/>
      <c r="S114" s="475"/>
      <c r="T114" s="475"/>
      <c r="U114" s="475"/>
      <c r="V114" s="475"/>
      <c r="W114" s="475"/>
      <c r="X114" s="475"/>
      <c r="Y114" s="475"/>
      <c r="Z114" s="475"/>
      <c r="AA114" s="475"/>
      <c r="AB114" s="475"/>
    </row>
    <row r="115" spans="1:28" ht="28.5" customHeight="1" thickBot="1">
      <c r="A115" s="475"/>
      <c r="B115" s="475"/>
      <c r="C115" s="475"/>
      <c r="D115" s="475"/>
      <c r="E115" s="475"/>
      <c r="F115" s="475"/>
      <c r="G115" s="475"/>
      <c r="H115" s="495"/>
      <c r="I115" s="495"/>
      <c r="J115" s="475"/>
      <c r="K115" s="475"/>
      <c r="L115" s="475"/>
      <c r="M115" s="475"/>
      <c r="N115" s="475"/>
      <c r="O115" s="475"/>
      <c r="P115" s="475"/>
      <c r="Q115" s="475"/>
      <c r="R115" s="475"/>
      <c r="S115" s="475"/>
      <c r="T115" s="475"/>
      <c r="U115" s="475"/>
      <c r="V115" s="475"/>
      <c r="W115" s="475"/>
      <c r="X115" s="475"/>
      <c r="Y115" s="475"/>
      <c r="Z115" s="475"/>
      <c r="AA115" s="475"/>
      <c r="AB115" s="475"/>
    </row>
    <row r="116" spans="1:28" ht="28.5" customHeight="1" thickBot="1">
      <c r="A116" s="475"/>
      <c r="B116" s="475"/>
      <c r="C116" s="475"/>
      <c r="D116" s="475"/>
      <c r="E116" s="475"/>
      <c r="F116" s="475"/>
      <c r="G116" s="475"/>
      <c r="H116" s="495"/>
      <c r="I116" s="495"/>
      <c r="J116" s="475"/>
      <c r="K116" s="475"/>
      <c r="L116" s="475"/>
      <c r="M116" s="475"/>
      <c r="N116" s="475"/>
      <c r="O116" s="475"/>
      <c r="P116" s="475"/>
      <c r="Q116" s="475"/>
      <c r="R116" s="475"/>
      <c r="S116" s="475"/>
      <c r="T116" s="475"/>
      <c r="U116" s="475"/>
      <c r="V116" s="475"/>
      <c r="W116" s="475"/>
      <c r="X116" s="475"/>
      <c r="Y116" s="475"/>
      <c r="Z116" s="475"/>
      <c r="AA116" s="475"/>
      <c r="AB116" s="475"/>
    </row>
    <row r="117" spans="1:28" ht="28.5" customHeight="1" thickBot="1">
      <c r="A117" s="475"/>
      <c r="B117" s="475"/>
      <c r="C117" s="475"/>
      <c r="D117" s="475"/>
      <c r="E117" s="475"/>
      <c r="F117" s="475"/>
      <c r="G117" s="475"/>
      <c r="H117" s="495"/>
      <c r="I117" s="495"/>
      <c r="J117" s="475"/>
      <c r="K117" s="475"/>
      <c r="L117" s="475"/>
      <c r="M117" s="475"/>
      <c r="N117" s="475"/>
      <c r="O117" s="475"/>
      <c r="P117" s="475"/>
      <c r="Q117" s="475"/>
      <c r="R117" s="475"/>
      <c r="S117" s="475"/>
      <c r="T117" s="475"/>
      <c r="U117" s="475"/>
      <c r="V117" s="475"/>
      <c r="W117" s="475"/>
      <c r="X117" s="475"/>
      <c r="Y117" s="475"/>
      <c r="Z117" s="475"/>
      <c r="AA117" s="475"/>
      <c r="AB117" s="475"/>
    </row>
    <row r="118" spans="1:28" ht="28.5" customHeight="1" thickBot="1">
      <c r="A118" s="475"/>
      <c r="B118" s="475"/>
      <c r="C118" s="475"/>
      <c r="D118" s="475"/>
      <c r="E118" s="475"/>
      <c r="F118" s="475"/>
      <c r="G118" s="475"/>
      <c r="H118" s="495"/>
      <c r="I118" s="495"/>
      <c r="J118" s="475"/>
      <c r="K118" s="475"/>
      <c r="L118" s="475"/>
      <c r="M118" s="475"/>
      <c r="N118" s="475"/>
      <c r="O118" s="475"/>
      <c r="P118" s="475"/>
      <c r="Q118" s="475"/>
      <c r="R118" s="475"/>
      <c r="S118" s="475"/>
      <c r="T118" s="475"/>
      <c r="U118" s="475"/>
      <c r="V118" s="475"/>
      <c r="W118" s="475"/>
      <c r="X118" s="475"/>
      <c r="Y118" s="475"/>
      <c r="Z118" s="475"/>
      <c r="AA118" s="475"/>
      <c r="AB118" s="475"/>
    </row>
    <row r="119" spans="1:28" ht="28.5" customHeight="1" thickBot="1">
      <c r="A119" s="475"/>
      <c r="B119" s="475"/>
      <c r="C119" s="475"/>
      <c r="D119" s="475"/>
      <c r="E119" s="475"/>
      <c r="F119" s="475"/>
      <c r="G119" s="475"/>
      <c r="H119" s="495"/>
      <c r="I119" s="495"/>
      <c r="J119" s="475"/>
      <c r="K119" s="475"/>
      <c r="L119" s="475"/>
      <c r="M119" s="475"/>
      <c r="N119" s="475"/>
      <c r="O119" s="475"/>
      <c r="P119" s="475"/>
      <c r="Q119" s="475"/>
      <c r="R119" s="475"/>
      <c r="S119" s="475"/>
      <c r="T119" s="475"/>
      <c r="U119" s="475"/>
      <c r="V119" s="475"/>
      <c r="W119" s="475"/>
      <c r="X119" s="475"/>
      <c r="Y119" s="475"/>
      <c r="Z119" s="475"/>
      <c r="AA119" s="475"/>
      <c r="AB119" s="475"/>
    </row>
    <row r="120" spans="1:28" ht="28.5" customHeight="1" thickBot="1">
      <c r="A120" s="475"/>
      <c r="B120" s="475"/>
      <c r="C120" s="475"/>
      <c r="D120" s="475"/>
      <c r="E120" s="475"/>
      <c r="F120" s="475"/>
      <c r="G120" s="475"/>
      <c r="H120" s="495"/>
      <c r="I120" s="495"/>
      <c r="J120" s="475"/>
      <c r="K120" s="475"/>
      <c r="L120" s="475"/>
      <c r="M120" s="475"/>
      <c r="N120" s="475"/>
      <c r="O120" s="475"/>
      <c r="P120" s="475"/>
      <c r="Q120" s="475"/>
      <c r="R120" s="475"/>
      <c r="S120" s="475"/>
      <c r="T120" s="475"/>
      <c r="U120" s="475"/>
      <c r="V120" s="475"/>
      <c r="W120" s="475"/>
      <c r="X120" s="475"/>
      <c r="Y120" s="475"/>
      <c r="Z120" s="475"/>
      <c r="AA120" s="475"/>
      <c r="AB120" s="475"/>
    </row>
    <row r="121" spans="1:28" ht="28.5" customHeight="1" thickBot="1">
      <c r="A121" s="475"/>
      <c r="B121" s="475"/>
      <c r="C121" s="475"/>
      <c r="D121" s="475"/>
      <c r="E121" s="475"/>
      <c r="F121" s="475"/>
      <c r="G121" s="475"/>
      <c r="H121" s="495"/>
      <c r="I121" s="495"/>
      <c r="J121" s="475"/>
      <c r="K121" s="475"/>
      <c r="L121" s="475"/>
      <c r="M121" s="475"/>
      <c r="N121" s="475"/>
      <c r="O121" s="475"/>
      <c r="P121" s="475"/>
      <c r="Q121" s="475"/>
      <c r="R121" s="475"/>
      <c r="S121" s="475"/>
      <c r="T121" s="475"/>
      <c r="U121" s="475"/>
      <c r="V121" s="475"/>
      <c r="W121" s="475"/>
      <c r="X121" s="475"/>
      <c r="Y121" s="475"/>
      <c r="Z121" s="475"/>
      <c r="AA121" s="475"/>
      <c r="AB121" s="475"/>
    </row>
    <row r="122" spans="1:28" ht="28.5" customHeight="1" thickBot="1">
      <c r="A122" s="475"/>
      <c r="B122" s="475"/>
      <c r="C122" s="475"/>
      <c r="D122" s="475"/>
      <c r="E122" s="475"/>
      <c r="F122" s="475"/>
      <c r="G122" s="475"/>
      <c r="H122" s="495"/>
      <c r="I122" s="495"/>
      <c r="J122" s="475"/>
      <c r="K122" s="475"/>
      <c r="L122" s="475"/>
      <c r="M122" s="475"/>
      <c r="N122" s="475"/>
      <c r="O122" s="475"/>
      <c r="P122" s="475"/>
      <c r="Q122" s="475"/>
      <c r="R122" s="475"/>
      <c r="S122" s="475"/>
      <c r="T122" s="475"/>
      <c r="U122" s="475"/>
      <c r="V122" s="475"/>
      <c r="W122" s="475"/>
      <c r="X122" s="475"/>
      <c r="Y122" s="475"/>
      <c r="Z122" s="475"/>
      <c r="AA122" s="475"/>
      <c r="AB122" s="475"/>
    </row>
    <row r="123" spans="1:28" ht="28.5" customHeight="1" thickBot="1">
      <c r="A123" s="475"/>
      <c r="B123" s="475"/>
      <c r="C123" s="475"/>
      <c r="D123" s="475"/>
      <c r="E123" s="475"/>
      <c r="F123" s="475"/>
      <c r="G123" s="475"/>
      <c r="H123" s="495"/>
      <c r="I123" s="495"/>
      <c r="J123" s="475"/>
      <c r="K123" s="475"/>
      <c r="L123" s="475"/>
      <c r="M123" s="475"/>
      <c r="N123" s="475"/>
      <c r="O123" s="475"/>
      <c r="P123" s="475"/>
      <c r="Q123" s="475"/>
      <c r="R123" s="475"/>
      <c r="S123" s="475"/>
      <c r="T123" s="475"/>
      <c r="U123" s="475"/>
      <c r="V123" s="475"/>
      <c r="W123" s="475"/>
      <c r="X123" s="475"/>
      <c r="Y123" s="475"/>
      <c r="Z123" s="475"/>
      <c r="AA123" s="475"/>
      <c r="AB123" s="475"/>
    </row>
    <row r="124" spans="1:28" ht="28.5" customHeight="1" thickBot="1">
      <c r="A124" s="475"/>
      <c r="B124" s="475"/>
      <c r="C124" s="475"/>
      <c r="D124" s="475"/>
      <c r="E124" s="475"/>
      <c r="F124" s="475"/>
      <c r="G124" s="475"/>
      <c r="H124" s="495"/>
      <c r="I124" s="495"/>
      <c r="J124" s="475"/>
      <c r="K124" s="475"/>
      <c r="L124" s="475"/>
      <c r="M124" s="475"/>
      <c r="N124" s="475"/>
      <c r="O124" s="475"/>
      <c r="P124" s="475"/>
      <c r="Q124" s="475"/>
      <c r="R124" s="475"/>
      <c r="S124" s="475"/>
      <c r="T124" s="475"/>
      <c r="U124" s="475"/>
      <c r="V124" s="475"/>
      <c r="W124" s="475"/>
      <c r="X124" s="475"/>
      <c r="Y124" s="475"/>
      <c r="Z124" s="475"/>
      <c r="AA124" s="475"/>
      <c r="AB124" s="475"/>
    </row>
    <row r="125" spans="1:28" ht="28.5" customHeight="1" thickBot="1">
      <c r="A125" s="475"/>
      <c r="B125" s="475"/>
      <c r="C125" s="475"/>
      <c r="D125" s="475"/>
      <c r="E125" s="475"/>
      <c r="F125" s="475"/>
      <c r="G125" s="475"/>
      <c r="H125" s="495"/>
      <c r="I125" s="495"/>
      <c r="J125" s="475"/>
      <c r="K125" s="475"/>
      <c r="L125" s="475"/>
      <c r="M125" s="475"/>
      <c r="N125" s="475"/>
      <c r="O125" s="475"/>
      <c r="P125" s="475"/>
      <c r="Q125" s="475"/>
      <c r="R125" s="475"/>
      <c r="S125" s="475"/>
      <c r="T125" s="475"/>
      <c r="U125" s="475"/>
      <c r="V125" s="475"/>
      <c r="W125" s="475"/>
      <c r="X125" s="475"/>
      <c r="Y125" s="475"/>
      <c r="Z125" s="475"/>
      <c r="AA125" s="475"/>
      <c r="AB125" s="475"/>
    </row>
    <row r="126" spans="1:28" ht="28.5" customHeight="1" thickBot="1">
      <c r="A126" s="475"/>
      <c r="B126" s="475"/>
      <c r="C126" s="475"/>
      <c r="D126" s="475"/>
      <c r="E126" s="475"/>
      <c r="F126" s="475"/>
      <c r="G126" s="475"/>
      <c r="H126" s="495"/>
      <c r="I126" s="495"/>
      <c r="J126" s="475"/>
      <c r="K126" s="475"/>
      <c r="L126" s="475"/>
      <c r="M126" s="475"/>
      <c r="N126" s="475"/>
      <c r="O126" s="475"/>
      <c r="P126" s="475"/>
      <c r="Q126" s="475"/>
      <c r="R126" s="475"/>
      <c r="S126" s="475"/>
      <c r="T126" s="475"/>
      <c r="U126" s="475"/>
      <c r="V126" s="475"/>
      <c r="W126" s="475"/>
      <c r="X126" s="475"/>
      <c r="Y126" s="475"/>
      <c r="Z126" s="475"/>
      <c r="AA126" s="475"/>
      <c r="AB126" s="475"/>
    </row>
    <row r="127" spans="1:28" ht="28.5" customHeight="1" thickBot="1">
      <c r="A127" s="475"/>
      <c r="B127" s="475"/>
      <c r="C127" s="475"/>
      <c r="D127" s="475"/>
      <c r="E127" s="475"/>
      <c r="F127" s="475"/>
      <c r="G127" s="475"/>
      <c r="H127" s="495"/>
      <c r="I127" s="495"/>
      <c r="J127" s="475"/>
      <c r="K127" s="475"/>
      <c r="L127" s="475"/>
      <c r="M127" s="475"/>
      <c r="N127" s="475"/>
      <c r="O127" s="475"/>
      <c r="P127" s="475"/>
      <c r="Q127" s="475"/>
      <c r="R127" s="475"/>
      <c r="S127" s="475"/>
      <c r="T127" s="475"/>
      <c r="U127" s="475"/>
      <c r="V127" s="475"/>
      <c r="W127" s="475"/>
      <c r="X127" s="475"/>
      <c r="Y127" s="475"/>
      <c r="Z127" s="475"/>
      <c r="AA127" s="475"/>
      <c r="AB127" s="475"/>
    </row>
    <row r="128" spans="1:28" ht="28.5" customHeight="1" thickBot="1">
      <c r="A128" s="475"/>
      <c r="B128" s="475"/>
      <c r="C128" s="475"/>
      <c r="D128" s="475"/>
      <c r="E128" s="475"/>
      <c r="F128" s="475"/>
      <c r="G128" s="475"/>
      <c r="H128" s="495"/>
      <c r="I128" s="495"/>
      <c r="J128" s="475"/>
      <c r="K128" s="475"/>
      <c r="L128" s="475"/>
      <c r="M128" s="475"/>
      <c r="N128" s="475"/>
      <c r="O128" s="475"/>
      <c r="P128" s="475"/>
      <c r="Q128" s="475"/>
      <c r="R128" s="475"/>
      <c r="S128" s="475"/>
      <c r="T128" s="475"/>
      <c r="U128" s="475"/>
      <c r="V128" s="475"/>
      <c r="W128" s="475"/>
      <c r="X128" s="475"/>
      <c r="Y128" s="475"/>
      <c r="Z128" s="475"/>
      <c r="AA128" s="475"/>
      <c r="AB128" s="475"/>
    </row>
    <row r="129" spans="1:28" ht="28.5" customHeight="1" thickBot="1">
      <c r="A129" s="475"/>
      <c r="B129" s="475"/>
      <c r="C129" s="475"/>
      <c r="D129" s="475"/>
      <c r="E129" s="475"/>
      <c r="F129" s="475"/>
      <c r="G129" s="475"/>
      <c r="H129" s="495"/>
      <c r="I129" s="495"/>
      <c r="J129" s="475"/>
      <c r="K129" s="475"/>
      <c r="L129" s="475"/>
      <c r="M129" s="475"/>
      <c r="N129" s="475"/>
      <c r="O129" s="475"/>
      <c r="P129" s="475"/>
      <c r="Q129" s="475"/>
      <c r="R129" s="475"/>
      <c r="S129" s="475"/>
      <c r="T129" s="475"/>
      <c r="U129" s="475"/>
      <c r="V129" s="475"/>
      <c r="W129" s="475"/>
      <c r="X129" s="475"/>
      <c r="Y129" s="475"/>
      <c r="Z129" s="475"/>
      <c r="AA129" s="475"/>
      <c r="AB129" s="475"/>
    </row>
    <row r="130" spans="1:28" ht="28.5" customHeight="1" thickBot="1">
      <c r="A130" s="475"/>
      <c r="B130" s="475"/>
      <c r="C130" s="475"/>
      <c r="D130" s="475"/>
      <c r="E130" s="475"/>
      <c r="F130" s="475"/>
      <c r="G130" s="475"/>
      <c r="H130" s="495"/>
      <c r="I130" s="495"/>
      <c r="J130" s="475"/>
      <c r="K130" s="475"/>
      <c r="L130" s="475"/>
      <c r="M130" s="475"/>
      <c r="N130" s="475"/>
      <c r="O130" s="475"/>
      <c r="P130" s="475"/>
      <c r="Q130" s="475"/>
      <c r="R130" s="475"/>
      <c r="S130" s="475"/>
      <c r="T130" s="475"/>
      <c r="U130" s="475"/>
      <c r="V130" s="475"/>
      <c r="W130" s="475"/>
      <c r="X130" s="475"/>
      <c r="Y130" s="475"/>
      <c r="Z130" s="475"/>
      <c r="AA130" s="475"/>
      <c r="AB130" s="475"/>
    </row>
    <row r="131" spans="1:28" ht="28.5" customHeight="1" thickBot="1">
      <c r="A131" s="475"/>
      <c r="B131" s="475"/>
      <c r="C131" s="475"/>
      <c r="D131" s="475"/>
      <c r="E131" s="475"/>
      <c r="F131" s="475"/>
      <c r="G131" s="475"/>
      <c r="H131" s="495"/>
      <c r="I131" s="495"/>
      <c r="J131" s="475"/>
      <c r="K131" s="475"/>
      <c r="L131" s="475"/>
      <c r="M131" s="475"/>
      <c r="N131" s="475"/>
      <c r="O131" s="475"/>
      <c r="P131" s="475"/>
      <c r="Q131" s="475"/>
      <c r="R131" s="475"/>
      <c r="S131" s="475"/>
      <c r="T131" s="475"/>
      <c r="U131" s="475"/>
      <c r="V131" s="475"/>
      <c r="W131" s="475"/>
      <c r="X131" s="475"/>
      <c r="Y131" s="475"/>
      <c r="Z131" s="475"/>
      <c r="AA131" s="475"/>
      <c r="AB131" s="475"/>
    </row>
    <row r="132" spans="1:28" ht="28.5" customHeight="1" thickBot="1">
      <c r="A132" s="475"/>
      <c r="B132" s="475"/>
      <c r="C132" s="475"/>
      <c r="D132" s="475"/>
      <c r="E132" s="475"/>
      <c r="F132" s="475"/>
      <c r="G132" s="475"/>
      <c r="H132" s="495"/>
      <c r="I132" s="495"/>
      <c r="J132" s="475"/>
      <c r="K132" s="475"/>
      <c r="L132" s="475"/>
      <c r="M132" s="475"/>
      <c r="N132" s="475"/>
      <c r="O132" s="475"/>
      <c r="P132" s="475"/>
      <c r="Q132" s="475"/>
      <c r="R132" s="475"/>
      <c r="S132" s="475"/>
      <c r="T132" s="475"/>
      <c r="U132" s="475"/>
      <c r="V132" s="475"/>
      <c r="W132" s="475"/>
      <c r="X132" s="475"/>
      <c r="Y132" s="475"/>
      <c r="Z132" s="475"/>
      <c r="AA132" s="475"/>
      <c r="AB132" s="475"/>
    </row>
    <row r="133" spans="1:28" ht="28.5" customHeight="1" thickBot="1">
      <c r="A133" s="475"/>
      <c r="B133" s="475"/>
      <c r="C133" s="475"/>
      <c r="D133" s="475"/>
      <c r="E133" s="475"/>
      <c r="F133" s="475"/>
      <c r="G133" s="475"/>
      <c r="H133" s="495"/>
      <c r="I133" s="495"/>
      <c r="J133" s="475"/>
      <c r="K133" s="475"/>
      <c r="L133" s="475"/>
      <c r="M133" s="475"/>
      <c r="N133" s="475"/>
      <c r="O133" s="475"/>
      <c r="P133" s="475"/>
      <c r="Q133" s="475"/>
      <c r="R133" s="475"/>
      <c r="S133" s="475"/>
      <c r="T133" s="475"/>
      <c r="U133" s="475"/>
      <c r="V133" s="475"/>
      <c r="W133" s="475"/>
      <c r="X133" s="475"/>
      <c r="Y133" s="475"/>
      <c r="Z133" s="475"/>
      <c r="AA133" s="475"/>
      <c r="AB133" s="475"/>
    </row>
    <row r="134" spans="1:28" ht="28.5" customHeight="1" thickBot="1">
      <c r="A134" s="475"/>
      <c r="B134" s="475"/>
      <c r="C134" s="475"/>
      <c r="D134" s="475"/>
      <c r="E134" s="475"/>
      <c r="F134" s="475"/>
      <c r="G134" s="475"/>
      <c r="H134" s="495"/>
      <c r="I134" s="495"/>
      <c r="J134" s="475"/>
      <c r="K134" s="475"/>
      <c r="L134" s="475"/>
      <c r="M134" s="475"/>
      <c r="N134" s="475"/>
      <c r="O134" s="475"/>
      <c r="P134" s="475"/>
      <c r="Q134" s="475"/>
      <c r="R134" s="475"/>
      <c r="S134" s="475"/>
      <c r="T134" s="475"/>
      <c r="U134" s="475"/>
      <c r="V134" s="475"/>
      <c r="W134" s="475"/>
      <c r="X134" s="475"/>
      <c r="Y134" s="475"/>
      <c r="Z134" s="475"/>
      <c r="AA134" s="475"/>
      <c r="AB134" s="475"/>
    </row>
    <row r="135" spans="1:28" ht="28.5" customHeight="1" thickBot="1">
      <c r="A135" s="475"/>
      <c r="B135" s="475"/>
      <c r="C135" s="475"/>
      <c r="D135" s="475"/>
      <c r="E135" s="475"/>
      <c r="F135" s="475"/>
      <c r="G135" s="475"/>
      <c r="H135" s="495"/>
      <c r="I135" s="495"/>
      <c r="J135" s="475"/>
      <c r="K135" s="475"/>
      <c r="L135" s="475"/>
      <c r="M135" s="475"/>
      <c r="N135" s="475"/>
      <c r="O135" s="475"/>
      <c r="P135" s="475"/>
      <c r="Q135" s="475"/>
      <c r="R135" s="475"/>
      <c r="S135" s="475"/>
      <c r="T135" s="475"/>
      <c r="U135" s="475"/>
      <c r="V135" s="475"/>
      <c r="W135" s="475"/>
      <c r="X135" s="475"/>
      <c r="Y135" s="475"/>
      <c r="Z135" s="475"/>
      <c r="AA135" s="475"/>
      <c r="AB135" s="475"/>
    </row>
    <row r="136" spans="1:28" ht="28.5" customHeight="1" thickBot="1">
      <c r="A136" s="475"/>
      <c r="B136" s="475"/>
      <c r="C136" s="475"/>
      <c r="D136" s="475"/>
      <c r="E136" s="475"/>
      <c r="F136" s="475"/>
      <c r="G136" s="475"/>
      <c r="H136" s="495"/>
      <c r="I136" s="495"/>
      <c r="J136" s="475"/>
      <c r="K136" s="475"/>
      <c r="L136" s="475"/>
      <c r="M136" s="475"/>
      <c r="N136" s="475"/>
      <c r="O136" s="475"/>
      <c r="P136" s="475"/>
      <c r="Q136" s="475"/>
      <c r="R136" s="475"/>
      <c r="S136" s="475"/>
      <c r="T136" s="475"/>
      <c r="U136" s="475"/>
      <c r="V136" s="475"/>
      <c r="W136" s="475"/>
      <c r="X136" s="475"/>
      <c r="Y136" s="475"/>
      <c r="Z136" s="475"/>
      <c r="AA136" s="475"/>
      <c r="AB136" s="475"/>
    </row>
    <row r="137" spans="1:28" ht="28.5" customHeight="1" thickBot="1">
      <c r="A137" s="475"/>
      <c r="B137" s="475"/>
      <c r="C137" s="475"/>
      <c r="D137" s="475"/>
      <c r="E137" s="475"/>
      <c r="F137" s="475"/>
      <c r="G137" s="475"/>
      <c r="H137" s="495"/>
      <c r="I137" s="495"/>
      <c r="J137" s="475"/>
      <c r="K137" s="475"/>
      <c r="L137" s="475"/>
      <c r="M137" s="475"/>
      <c r="N137" s="475"/>
      <c r="O137" s="475"/>
      <c r="P137" s="475"/>
      <c r="Q137" s="475"/>
      <c r="R137" s="475"/>
      <c r="S137" s="475"/>
      <c r="T137" s="475"/>
      <c r="U137" s="475"/>
      <c r="V137" s="475"/>
      <c r="W137" s="475"/>
      <c r="X137" s="475"/>
      <c r="Y137" s="475"/>
      <c r="Z137" s="475"/>
      <c r="AA137" s="475"/>
      <c r="AB137" s="475"/>
    </row>
    <row r="138" spans="1:28" ht="28.5" customHeight="1" thickBot="1">
      <c r="A138" s="475"/>
      <c r="B138" s="475"/>
      <c r="C138" s="475"/>
      <c r="D138" s="475"/>
      <c r="E138" s="475"/>
      <c r="F138" s="475"/>
      <c r="G138" s="475"/>
      <c r="H138" s="495"/>
      <c r="I138" s="495"/>
      <c r="J138" s="475"/>
      <c r="K138" s="475"/>
      <c r="L138" s="475"/>
      <c r="M138" s="475"/>
      <c r="N138" s="475"/>
      <c r="O138" s="475"/>
      <c r="P138" s="475"/>
      <c r="Q138" s="475"/>
      <c r="R138" s="475"/>
      <c r="S138" s="475"/>
      <c r="T138" s="475"/>
      <c r="U138" s="475"/>
      <c r="V138" s="475"/>
      <c r="W138" s="475"/>
      <c r="X138" s="475"/>
      <c r="Y138" s="475"/>
      <c r="Z138" s="475"/>
      <c r="AA138" s="475"/>
      <c r="AB138" s="475"/>
    </row>
    <row r="139" spans="1:28" ht="28.5" customHeight="1" thickBot="1">
      <c r="A139" s="475"/>
      <c r="B139" s="475"/>
      <c r="C139" s="475"/>
      <c r="D139" s="475"/>
      <c r="E139" s="475"/>
      <c r="F139" s="475"/>
      <c r="G139" s="475"/>
      <c r="H139" s="495"/>
      <c r="I139" s="495"/>
      <c r="J139" s="475"/>
      <c r="K139" s="475"/>
      <c r="L139" s="475"/>
      <c r="M139" s="475"/>
      <c r="N139" s="475"/>
      <c r="O139" s="475"/>
      <c r="P139" s="475"/>
      <c r="Q139" s="475"/>
      <c r="R139" s="475"/>
      <c r="S139" s="475"/>
      <c r="T139" s="475"/>
      <c r="U139" s="475"/>
      <c r="V139" s="475"/>
      <c r="W139" s="475"/>
      <c r="X139" s="475"/>
      <c r="Y139" s="475"/>
      <c r="Z139" s="475"/>
      <c r="AA139" s="475"/>
      <c r="AB139" s="475"/>
    </row>
    <row r="140" spans="1:28" ht="28.5" customHeight="1" thickBot="1">
      <c r="A140" s="475"/>
      <c r="B140" s="475"/>
      <c r="C140" s="475"/>
      <c r="D140" s="475"/>
      <c r="E140" s="475"/>
      <c r="F140" s="475"/>
      <c r="G140" s="475"/>
      <c r="H140" s="495"/>
      <c r="I140" s="495"/>
      <c r="J140" s="475"/>
      <c r="K140" s="475"/>
      <c r="L140" s="475"/>
      <c r="M140" s="475"/>
      <c r="N140" s="475"/>
      <c r="O140" s="475"/>
      <c r="P140" s="475"/>
      <c r="Q140" s="475"/>
      <c r="R140" s="475"/>
      <c r="S140" s="475"/>
      <c r="T140" s="475"/>
      <c r="U140" s="475"/>
      <c r="V140" s="475"/>
      <c r="W140" s="475"/>
      <c r="X140" s="475"/>
      <c r="Y140" s="475"/>
      <c r="Z140" s="475"/>
      <c r="AA140" s="475"/>
      <c r="AB140" s="475"/>
    </row>
    <row r="141" spans="1:28" ht="28.5" customHeight="1" thickBot="1">
      <c r="A141" s="475"/>
      <c r="B141" s="475"/>
      <c r="C141" s="475"/>
      <c r="D141" s="475"/>
      <c r="E141" s="475"/>
      <c r="F141" s="475"/>
      <c r="G141" s="475"/>
      <c r="H141" s="495"/>
      <c r="I141" s="495"/>
      <c r="J141" s="475"/>
      <c r="K141" s="475"/>
      <c r="L141" s="475"/>
      <c r="M141" s="475"/>
      <c r="N141" s="475"/>
      <c r="O141" s="475"/>
      <c r="P141" s="475"/>
      <c r="Q141" s="475"/>
      <c r="R141" s="475"/>
      <c r="S141" s="475"/>
      <c r="T141" s="475"/>
      <c r="U141" s="475"/>
      <c r="V141" s="475"/>
      <c r="W141" s="475"/>
      <c r="X141" s="475"/>
      <c r="Y141" s="475"/>
      <c r="Z141" s="475"/>
      <c r="AA141" s="475"/>
      <c r="AB141" s="475"/>
    </row>
    <row r="142" spans="1:28" ht="28.5" customHeight="1" thickBot="1">
      <c r="A142" s="475"/>
      <c r="B142" s="475"/>
      <c r="C142" s="475"/>
      <c r="D142" s="475"/>
      <c r="E142" s="475"/>
      <c r="F142" s="475"/>
      <c r="G142" s="475"/>
      <c r="H142" s="495"/>
      <c r="I142" s="495"/>
      <c r="J142" s="475"/>
      <c r="K142" s="475"/>
      <c r="L142" s="475"/>
      <c r="M142" s="475"/>
      <c r="N142" s="475"/>
      <c r="O142" s="475"/>
      <c r="P142" s="475"/>
      <c r="Q142" s="475"/>
      <c r="R142" s="475"/>
      <c r="S142" s="475"/>
      <c r="T142" s="475"/>
      <c r="U142" s="475"/>
      <c r="V142" s="475"/>
      <c r="W142" s="475"/>
      <c r="X142" s="475"/>
      <c r="Y142" s="475"/>
      <c r="Z142" s="475"/>
      <c r="AA142" s="475"/>
      <c r="AB142" s="475"/>
    </row>
    <row r="143" spans="1:28" ht="28.5" customHeight="1" thickBot="1">
      <c r="A143" s="475"/>
      <c r="B143" s="475"/>
      <c r="C143" s="475"/>
      <c r="D143" s="475"/>
      <c r="E143" s="475"/>
      <c r="F143" s="475"/>
      <c r="G143" s="475"/>
      <c r="H143" s="495"/>
      <c r="I143" s="495"/>
      <c r="J143" s="475"/>
      <c r="K143" s="475"/>
      <c r="L143" s="475"/>
      <c r="M143" s="475"/>
      <c r="N143" s="475"/>
      <c r="O143" s="475"/>
      <c r="P143" s="475"/>
      <c r="Q143" s="475"/>
      <c r="R143" s="475"/>
      <c r="S143" s="475"/>
      <c r="T143" s="475"/>
      <c r="U143" s="475"/>
      <c r="V143" s="475"/>
      <c r="W143" s="475"/>
      <c r="X143" s="475"/>
      <c r="Y143" s="475"/>
      <c r="Z143" s="475"/>
      <c r="AA143" s="475"/>
      <c r="AB143" s="475"/>
    </row>
    <row r="144" spans="1:28" ht="28.5" customHeight="1" thickBot="1">
      <c r="A144" s="475"/>
      <c r="B144" s="475"/>
      <c r="C144" s="475"/>
      <c r="D144" s="475"/>
      <c r="E144" s="475"/>
      <c r="F144" s="475"/>
      <c r="G144" s="475"/>
      <c r="H144" s="495"/>
      <c r="I144" s="495"/>
      <c r="J144" s="475"/>
      <c r="K144" s="475"/>
      <c r="L144" s="475"/>
      <c r="M144" s="475"/>
      <c r="N144" s="475"/>
      <c r="O144" s="475"/>
      <c r="P144" s="475"/>
      <c r="Q144" s="475"/>
      <c r="R144" s="475"/>
      <c r="S144" s="475"/>
      <c r="T144" s="475"/>
      <c r="U144" s="475"/>
      <c r="V144" s="475"/>
      <c r="W144" s="475"/>
      <c r="X144" s="475"/>
      <c r="Y144" s="475"/>
      <c r="Z144" s="475"/>
      <c r="AA144" s="475"/>
      <c r="AB144" s="475"/>
    </row>
    <row r="145" spans="1:28" ht="28.5" customHeight="1" thickBot="1">
      <c r="A145" s="475"/>
      <c r="B145" s="475"/>
      <c r="C145" s="475"/>
      <c r="D145" s="475"/>
      <c r="E145" s="475"/>
      <c r="F145" s="475"/>
      <c r="G145" s="475"/>
      <c r="H145" s="495"/>
      <c r="I145" s="495"/>
      <c r="J145" s="475"/>
      <c r="K145" s="475"/>
      <c r="L145" s="475"/>
      <c r="M145" s="475"/>
      <c r="N145" s="475"/>
      <c r="O145" s="475"/>
      <c r="P145" s="475"/>
      <c r="Q145" s="475"/>
      <c r="R145" s="475"/>
      <c r="S145" s="475"/>
      <c r="T145" s="475"/>
      <c r="U145" s="475"/>
      <c r="V145" s="475"/>
      <c r="W145" s="475"/>
      <c r="X145" s="475"/>
      <c r="Y145" s="475"/>
      <c r="Z145" s="475"/>
      <c r="AA145" s="475"/>
      <c r="AB145" s="475"/>
    </row>
    <row r="146" spans="1:28" ht="28.5" customHeight="1" thickBot="1">
      <c r="A146" s="475"/>
      <c r="B146" s="475"/>
      <c r="C146" s="475"/>
      <c r="D146" s="475"/>
      <c r="E146" s="475"/>
      <c r="F146" s="475"/>
      <c r="G146" s="475"/>
      <c r="H146" s="495"/>
      <c r="I146" s="495"/>
      <c r="J146" s="475"/>
      <c r="K146" s="475"/>
      <c r="L146" s="475"/>
      <c r="M146" s="475"/>
      <c r="N146" s="475"/>
      <c r="O146" s="475"/>
      <c r="P146" s="475"/>
      <c r="Q146" s="475"/>
      <c r="R146" s="475"/>
      <c r="S146" s="475"/>
      <c r="T146" s="475"/>
      <c r="U146" s="475"/>
      <c r="V146" s="475"/>
      <c r="W146" s="475"/>
      <c r="X146" s="475"/>
      <c r="Y146" s="475"/>
      <c r="Z146" s="475"/>
      <c r="AA146" s="475"/>
      <c r="AB146" s="475"/>
    </row>
    <row r="147" spans="1:28" ht="28.5" customHeight="1" thickBot="1">
      <c r="A147" s="475"/>
      <c r="B147" s="475"/>
      <c r="C147" s="475"/>
      <c r="D147" s="475"/>
      <c r="E147" s="475"/>
      <c r="F147" s="475"/>
      <c r="G147" s="475"/>
      <c r="H147" s="495"/>
      <c r="I147" s="495"/>
      <c r="J147" s="475"/>
      <c r="K147" s="475"/>
      <c r="L147" s="475"/>
      <c r="M147" s="475"/>
      <c r="N147" s="475"/>
      <c r="O147" s="475"/>
      <c r="P147" s="475"/>
      <c r="Q147" s="475"/>
      <c r="R147" s="475"/>
      <c r="S147" s="475"/>
      <c r="T147" s="475"/>
      <c r="U147" s="475"/>
      <c r="V147" s="475"/>
      <c r="W147" s="475"/>
      <c r="X147" s="475"/>
      <c r="Y147" s="475"/>
      <c r="Z147" s="475"/>
      <c r="AA147" s="475"/>
      <c r="AB147" s="475"/>
    </row>
    <row r="148" spans="1:28" ht="28.5" customHeight="1" thickBot="1">
      <c r="A148" s="475"/>
      <c r="B148" s="475"/>
      <c r="C148" s="475"/>
      <c r="D148" s="475"/>
      <c r="E148" s="475"/>
      <c r="F148" s="475"/>
      <c r="G148" s="475"/>
      <c r="H148" s="495"/>
      <c r="I148" s="495"/>
      <c r="J148" s="475"/>
      <c r="K148" s="475"/>
      <c r="L148" s="475"/>
      <c r="M148" s="475"/>
      <c r="N148" s="475"/>
      <c r="O148" s="475"/>
      <c r="P148" s="475"/>
      <c r="Q148" s="475"/>
      <c r="R148" s="475"/>
      <c r="S148" s="475"/>
      <c r="T148" s="475"/>
      <c r="U148" s="475"/>
      <c r="V148" s="475"/>
      <c r="W148" s="475"/>
      <c r="X148" s="475"/>
      <c r="Y148" s="475"/>
      <c r="Z148" s="475"/>
      <c r="AA148" s="475"/>
      <c r="AB148" s="475"/>
    </row>
    <row r="149" spans="1:28" ht="28.5" customHeight="1" thickBot="1">
      <c r="A149" s="475"/>
      <c r="B149" s="475"/>
      <c r="C149" s="475"/>
      <c r="D149" s="475"/>
      <c r="E149" s="475"/>
      <c r="F149" s="475"/>
      <c r="G149" s="475"/>
      <c r="H149" s="495"/>
      <c r="I149" s="495"/>
      <c r="J149" s="475"/>
      <c r="K149" s="475"/>
      <c r="L149" s="475"/>
      <c r="M149" s="475"/>
      <c r="N149" s="475"/>
      <c r="O149" s="475"/>
      <c r="P149" s="475"/>
      <c r="Q149" s="475"/>
      <c r="R149" s="475"/>
      <c r="S149" s="475"/>
      <c r="T149" s="475"/>
      <c r="U149" s="475"/>
      <c r="V149" s="475"/>
      <c r="W149" s="475"/>
      <c r="X149" s="475"/>
      <c r="Y149" s="475"/>
      <c r="Z149" s="475"/>
      <c r="AA149" s="475"/>
      <c r="AB149" s="475"/>
    </row>
    <row r="150" spans="1:28" ht="28.5" customHeight="1" thickBot="1">
      <c r="A150" s="475"/>
      <c r="B150" s="475"/>
      <c r="C150" s="475"/>
      <c r="D150" s="475"/>
      <c r="E150" s="475"/>
      <c r="F150" s="475"/>
      <c r="G150" s="475"/>
      <c r="H150" s="495"/>
      <c r="I150" s="495"/>
      <c r="J150" s="475"/>
      <c r="K150" s="475"/>
      <c r="L150" s="475"/>
      <c r="M150" s="475"/>
      <c r="N150" s="475"/>
      <c r="O150" s="475"/>
      <c r="P150" s="475"/>
      <c r="Q150" s="475"/>
      <c r="R150" s="475"/>
      <c r="S150" s="475"/>
      <c r="T150" s="475"/>
      <c r="U150" s="475"/>
      <c r="V150" s="475"/>
      <c r="W150" s="475"/>
      <c r="X150" s="475"/>
      <c r="Y150" s="475"/>
      <c r="Z150" s="475"/>
      <c r="AA150" s="475"/>
      <c r="AB150" s="475"/>
    </row>
    <row r="151" spans="1:28" ht="28.5" customHeight="1" thickBot="1">
      <c r="A151" s="475"/>
      <c r="B151" s="475"/>
      <c r="C151" s="475"/>
      <c r="D151" s="475"/>
      <c r="E151" s="475"/>
      <c r="F151" s="475"/>
      <c r="G151" s="475"/>
      <c r="H151" s="495"/>
      <c r="I151" s="495"/>
      <c r="J151" s="475"/>
      <c r="K151" s="475"/>
      <c r="L151" s="475"/>
      <c r="M151" s="475"/>
      <c r="N151" s="475"/>
      <c r="O151" s="475"/>
      <c r="P151" s="475"/>
      <c r="Q151" s="475"/>
      <c r="R151" s="475"/>
      <c r="S151" s="475"/>
      <c r="T151" s="475"/>
      <c r="U151" s="475"/>
      <c r="V151" s="475"/>
      <c r="W151" s="475"/>
      <c r="X151" s="475"/>
      <c r="Y151" s="475"/>
      <c r="Z151" s="475"/>
      <c r="AA151" s="475"/>
      <c r="AB151" s="475"/>
    </row>
    <row r="152" spans="1:28" ht="28.5" customHeight="1" thickBot="1">
      <c r="A152" s="475"/>
      <c r="B152" s="475"/>
      <c r="C152" s="475"/>
      <c r="D152" s="475"/>
      <c r="E152" s="475"/>
      <c r="F152" s="475"/>
      <c r="G152" s="475"/>
      <c r="H152" s="495"/>
      <c r="I152" s="495"/>
      <c r="J152" s="475"/>
      <c r="K152" s="475"/>
      <c r="L152" s="475"/>
      <c r="M152" s="475"/>
      <c r="N152" s="475"/>
      <c r="O152" s="475"/>
      <c r="P152" s="475"/>
      <c r="Q152" s="475"/>
      <c r="R152" s="475"/>
      <c r="S152" s="475"/>
      <c r="T152" s="475"/>
      <c r="U152" s="475"/>
      <c r="V152" s="475"/>
      <c r="W152" s="475"/>
      <c r="X152" s="475"/>
      <c r="Y152" s="475"/>
      <c r="Z152" s="475"/>
      <c r="AA152" s="475"/>
      <c r="AB152" s="475"/>
    </row>
    <row r="153" spans="1:28" ht="28.5" customHeight="1" thickBot="1">
      <c r="A153" s="475"/>
      <c r="B153" s="475"/>
      <c r="C153" s="475"/>
      <c r="D153" s="475"/>
      <c r="E153" s="475"/>
      <c r="F153" s="475"/>
      <c r="G153" s="475"/>
      <c r="H153" s="495"/>
      <c r="I153" s="495"/>
      <c r="J153" s="475"/>
      <c r="K153" s="475"/>
      <c r="L153" s="475"/>
      <c r="M153" s="475"/>
      <c r="N153" s="475"/>
      <c r="O153" s="475"/>
      <c r="P153" s="475"/>
      <c r="Q153" s="475"/>
      <c r="R153" s="475"/>
      <c r="S153" s="475"/>
      <c r="T153" s="475"/>
      <c r="U153" s="475"/>
      <c r="V153" s="475"/>
      <c r="W153" s="475"/>
      <c r="X153" s="475"/>
      <c r="Y153" s="475"/>
      <c r="Z153" s="475"/>
      <c r="AA153" s="475"/>
      <c r="AB153" s="475"/>
    </row>
    <row r="154" spans="1:28" ht="28.5" customHeight="1" thickBot="1">
      <c r="A154" s="475"/>
      <c r="B154" s="475"/>
      <c r="C154" s="475"/>
      <c r="D154" s="475"/>
      <c r="E154" s="475"/>
      <c r="F154" s="475"/>
      <c r="G154" s="475"/>
      <c r="H154" s="495"/>
      <c r="I154" s="495"/>
      <c r="J154" s="475"/>
      <c r="K154" s="475"/>
      <c r="L154" s="475"/>
      <c r="M154" s="475"/>
      <c r="N154" s="475"/>
      <c r="O154" s="475"/>
      <c r="P154" s="475"/>
      <c r="Q154" s="475"/>
      <c r="R154" s="475"/>
      <c r="S154" s="475"/>
      <c r="T154" s="475"/>
      <c r="U154" s="475"/>
      <c r="V154" s="475"/>
      <c r="W154" s="475"/>
      <c r="X154" s="475"/>
      <c r="Y154" s="475"/>
      <c r="Z154" s="475"/>
      <c r="AA154" s="475"/>
      <c r="AB154" s="475"/>
    </row>
    <row r="155" spans="1:28" ht="28.5" customHeight="1" thickBot="1">
      <c r="A155" s="475"/>
      <c r="B155" s="475"/>
      <c r="C155" s="475"/>
      <c r="D155" s="475"/>
      <c r="E155" s="475"/>
      <c r="F155" s="475"/>
      <c r="G155" s="475"/>
      <c r="H155" s="495"/>
      <c r="I155" s="495"/>
      <c r="J155" s="475"/>
      <c r="K155" s="475"/>
      <c r="L155" s="475"/>
      <c r="M155" s="475"/>
      <c r="N155" s="475"/>
      <c r="O155" s="475"/>
      <c r="P155" s="475"/>
      <c r="Q155" s="475"/>
      <c r="R155" s="475"/>
      <c r="S155" s="475"/>
      <c r="T155" s="475"/>
      <c r="U155" s="475"/>
      <c r="V155" s="475"/>
      <c r="W155" s="475"/>
      <c r="X155" s="475"/>
      <c r="Y155" s="475"/>
      <c r="Z155" s="475"/>
      <c r="AA155" s="475"/>
      <c r="AB155" s="475"/>
    </row>
    <row r="156" spans="1:28" ht="28.5" customHeight="1" thickBot="1">
      <c r="A156" s="475"/>
      <c r="B156" s="475"/>
      <c r="C156" s="475"/>
      <c r="D156" s="475"/>
      <c r="E156" s="475"/>
      <c r="F156" s="475"/>
      <c r="G156" s="475"/>
      <c r="H156" s="495"/>
      <c r="I156" s="495"/>
      <c r="J156" s="475"/>
      <c r="K156" s="475"/>
      <c r="L156" s="475"/>
      <c r="M156" s="475"/>
      <c r="N156" s="475"/>
      <c r="O156" s="475"/>
      <c r="P156" s="475"/>
      <c r="Q156" s="475"/>
      <c r="R156" s="475"/>
      <c r="S156" s="475"/>
      <c r="T156" s="475"/>
      <c r="U156" s="475"/>
      <c r="V156" s="475"/>
      <c r="W156" s="475"/>
      <c r="X156" s="475"/>
      <c r="Y156" s="475"/>
      <c r="Z156" s="475"/>
      <c r="AA156" s="475"/>
      <c r="AB156" s="475"/>
    </row>
    <row r="157" spans="1:28" ht="28.5" customHeight="1" thickBot="1">
      <c r="A157" s="475"/>
      <c r="B157" s="475"/>
      <c r="C157" s="475"/>
      <c r="D157" s="475"/>
      <c r="E157" s="475"/>
      <c r="F157" s="475"/>
      <c r="G157" s="475"/>
      <c r="H157" s="495"/>
      <c r="I157" s="495"/>
      <c r="J157" s="475"/>
      <c r="K157" s="475"/>
      <c r="L157" s="475"/>
      <c r="M157" s="475"/>
      <c r="N157" s="475"/>
      <c r="O157" s="475"/>
      <c r="P157" s="475"/>
      <c r="Q157" s="475"/>
      <c r="R157" s="475"/>
      <c r="S157" s="475"/>
      <c r="T157" s="475"/>
      <c r="U157" s="475"/>
      <c r="V157" s="475"/>
      <c r="W157" s="475"/>
      <c r="X157" s="475"/>
      <c r="Y157" s="475"/>
      <c r="Z157" s="475"/>
      <c r="AA157" s="475"/>
      <c r="AB157" s="475"/>
    </row>
    <row r="158" spans="1:28" ht="28.5" customHeight="1" thickBot="1">
      <c r="A158" s="475"/>
      <c r="B158" s="475"/>
      <c r="C158" s="475"/>
      <c r="D158" s="475"/>
      <c r="E158" s="475"/>
      <c r="F158" s="475"/>
      <c r="G158" s="475"/>
      <c r="H158" s="495"/>
      <c r="I158" s="495"/>
      <c r="J158" s="475"/>
      <c r="K158" s="475"/>
      <c r="L158" s="475"/>
      <c r="M158" s="475"/>
      <c r="N158" s="475"/>
      <c r="O158" s="475"/>
      <c r="P158" s="475"/>
      <c r="Q158" s="475"/>
      <c r="R158" s="475"/>
      <c r="S158" s="475"/>
      <c r="T158" s="475"/>
      <c r="U158" s="475"/>
      <c r="V158" s="475"/>
      <c r="W158" s="475"/>
      <c r="X158" s="475"/>
      <c r="Y158" s="475"/>
      <c r="Z158" s="475"/>
      <c r="AA158" s="475"/>
      <c r="AB158" s="475"/>
    </row>
    <row r="159" spans="1:28" ht="28.5" customHeight="1" thickBot="1">
      <c r="A159" s="475"/>
      <c r="B159" s="475"/>
      <c r="C159" s="475"/>
      <c r="D159" s="475"/>
      <c r="E159" s="475"/>
      <c r="F159" s="475"/>
      <c r="G159" s="475"/>
      <c r="H159" s="495"/>
      <c r="I159" s="495"/>
      <c r="J159" s="475"/>
      <c r="K159" s="475"/>
      <c r="L159" s="475"/>
      <c r="M159" s="475"/>
      <c r="N159" s="475"/>
      <c r="O159" s="475"/>
      <c r="P159" s="475"/>
      <c r="Q159" s="475"/>
      <c r="R159" s="475"/>
      <c r="S159" s="475"/>
      <c r="T159" s="475"/>
      <c r="U159" s="475"/>
      <c r="V159" s="475"/>
      <c r="W159" s="475"/>
      <c r="X159" s="475"/>
      <c r="Y159" s="475"/>
      <c r="Z159" s="475"/>
      <c r="AA159" s="475"/>
      <c r="AB159" s="475"/>
    </row>
    <row r="160" spans="1:28" ht="28.5" customHeight="1" thickBot="1">
      <c r="A160" s="475"/>
      <c r="B160" s="475"/>
      <c r="C160" s="475"/>
      <c r="D160" s="475"/>
      <c r="E160" s="475"/>
      <c r="F160" s="475"/>
      <c r="G160" s="475"/>
      <c r="H160" s="495"/>
      <c r="I160" s="495"/>
      <c r="J160" s="475"/>
      <c r="K160" s="475"/>
      <c r="L160" s="475"/>
      <c r="M160" s="475"/>
      <c r="N160" s="475"/>
      <c r="O160" s="475"/>
      <c r="P160" s="475"/>
      <c r="Q160" s="475"/>
      <c r="R160" s="475"/>
      <c r="S160" s="475"/>
      <c r="T160" s="475"/>
      <c r="U160" s="475"/>
      <c r="V160" s="475"/>
      <c r="W160" s="475"/>
      <c r="X160" s="475"/>
      <c r="Y160" s="475"/>
      <c r="Z160" s="475"/>
      <c r="AA160" s="475"/>
      <c r="AB160" s="475"/>
    </row>
    <row r="161" spans="1:28" ht="28.5" customHeight="1" thickBot="1">
      <c r="A161" s="475"/>
      <c r="B161" s="475"/>
      <c r="C161" s="475"/>
      <c r="D161" s="475"/>
      <c r="E161" s="475"/>
      <c r="F161" s="475"/>
      <c r="G161" s="475"/>
      <c r="H161" s="495"/>
      <c r="I161" s="495"/>
      <c r="J161" s="475"/>
      <c r="K161" s="475"/>
      <c r="L161" s="475"/>
      <c r="M161" s="475"/>
      <c r="N161" s="475"/>
      <c r="O161" s="475"/>
      <c r="P161" s="475"/>
      <c r="Q161" s="475"/>
      <c r="R161" s="475"/>
      <c r="S161" s="475"/>
      <c r="T161" s="475"/>
      <c r="U161" s="475"/>
      <c r="V161" s="475"/>
      <c r="W161" s="475"/>
      <c r="X161" s="475"/>
      <c r="Y161" s="475"/>
      <c r="Z161" s="475"/>
      <c r="AA161" s="475"/>
      <c r="AB161" s="475"/>
    </row>
    <row r="162" spans="1:28" ht="28.5" customHeight="1" thickBot="1">
      <c r="A162" s="475"/>
      <c r="B162" s="475"/>
      <c r="C162" s="475"/>
      <c r="D162" s="475"/>
      <c r="E162" s="475"/>
      <c r="F162" s="475"/>
      <c r="G162" s="475"/>
      <c r="H162" s="495"/>
      <c r="I162" s="495"/>
      <c r="J162" s="475"/>
      <c r="K162" s="475"/>
      <c r="L162" s="475"/>
      <c r="M162" s="475"/>
      <c r="N162" s="475"/>
      <c r="O162" s="475"/>
      <c r="P162" s="475"/>
      <c r="Q162" s="475"/>
      <c r="R162" s="475"/>
      <c r="S162" s="475"/>
      <c r="T162" s="475"/>
      <c r="U162" s="475"/>
      <c r="V162" s="475"/>
      <c r="W162" s="475"/>
      <c r="X162" s="475"/>
      <c r="Y162" s="475"/>
      <c r="Z162" s="475"/>
      <c r="AA162" s="475"/>
      <c r="AB162" s="475"/>
    </row>
    <row r="163" spans="1:28" ht="28.5" customHeight="1" thickBot="1">
      <c r="A163" s="475"/>
      <c r="B163" s="475"/>
      <c r="C163" s="475"/>
      <c r="D163" s="475"/>
      <c r="E163" s="475"/>
      <c r="F163" s="475"/>
      <c r="G163" s="475"/>
      <c r="H163" s="495"/>
      <c r="I163" s="495"/>
      <c r="J163" s="475"/>
      <c r="K163" s="475"/>
      <c r="L163" s="475"/>
      <c r="M163" s="475"/>
      <c r="N163" s="475"/>
      <c r="O163" s="475"/>
      <c r="P163" s="475"/>
      <c r="Q163" s="475"/>
      <c r="R163" s="475"/>
      <c r="S163" s="475"/>
      <c r="T163" s="475"/>
      <c r="U163" s="475"/>
      <c r="V163" s="475"/>
      <c r="W163" s="475"/>
      <c r="X163" s="475"/>
      <c r="Y163" s="475"/>
      <c r="Z163" s="475"/>
      <c r="AA163" s="475"/>
      <c r="AB163" s="475"/>
    </row>
    <row r="164" spans="1:28" ht="28.5" customHeight="1" thickBot="1">
      <c r="A164" s="475"/>
      <c r="B164" s="475"/>
      <c r="C164" s="475"/>
      <c r="D164" s="475"/>
      <c r="E164" s="475"/>
      <c r="F164" s="475"/>
      <c r="G164" s="475"/>
      <c r="H164" s="495"/>
      <c r="I164" s="495"/>
      <c r="J164" s="475"/>
      <c r="K164" s="475"/>
      <c r="L164" s="475"/>
      <c r="M164" s="475"/>
      <c r="N164" s="475"/>
      <c r="O164" s="475"/>
      <c r="P164" s="475"/>
      <c r="Q164" s="475"/>
      <c r="R164" s="475"/>
      <c r="S164" s="475"/>
      <c r="T164" s="475"/>
      <c r="U164" s="475"/>
      <c r="V164" s="475"/>
      <c r="W164" s="475"/>
      <c r="X164" s="475"/>
      <c r="Y164" s="475"/>
      <c r="Z164" s="475"/>
      <c r="AA164" s="475"/>
      <c r="AB164" s="475"/>
    </row>
    <row r="165" spans="1:28" ht="28.5" customHeight="1" thickBot="1">
      <c r="A165" s="475"/>
      <c r="B165" s="475"/>
      <c r="C165" s="475"/>
      <c r="D165" s="475"/>
      <c r="E165" s="475"/>
      <c r="F165" s="475"/>
      <c r="G165" s="475"/>
      <c r="H165" s="495"/>
      <c r="I165" s="495"/>
      <c r="J165" s="475"/>
      <c r="K165" s="475"/>
      <c r="L165" s="475"/>
      <c r="M165" s="475"/>
      <c r="N165" s="475"/>
      <c r="O165" s="475"/>
      <c r="P165" s="475"/>
      <c r="Q165" s="475"/>
      <c r="R165" s="475"/>
      <c r="S165" s="475"/>
      <c r="T165" s="475"/>
      <c r="U165" s="475"/>
      <c r="V165" s="475"/>
      <c r="W165" s="475"/>
      <c r="X165" s="475"/>
      <c r="Y165" s="475"/>
      <c r="Z165" s="475"/>
      <c r="AA165" s="475"/>
      <c r="AB165" s="475"/>
    </row>
    <row r="166" spans="1:28" ht="28.5" customHeight="1" thickBot="1">
      <c r="A166" s="475"/>
      <c r="B166" s="475"/>
      <c r="C166" s="475"/>
      <c r="D166" s="475"/>
      <c r="E166" s="475"/>
      <c r="F166" s="475"/>
      <c r="G166" s="475"/>
      <c r="H166" s="495"/>
      <c r="I166" s="495"/>
      <c r="J166" s="475"/>
      <c r="K166" s="475"/>
      <c r="L166" s="475"/>
      <c r="M166" s="475"/>
      <c r="N166" s="475"/>
      <c r="O166" s="475"/>
      <c r="P166" s="475"/>
      <c r="Q166" s="475"/>
      <c r="R166" s="475"/>
      <c r="S166" s="475"/>
      <c r="T166" s="475"/>
      <c r="U166" s="475"/>
      <c r="V166" s="475"/>
      <c r="W166" s="475"/>
      <c r="X166" s="475"/>
      <c r="Y166" s="475"/>
      <c r="Z166" s="475"/>
      <c r="AA166" s="475"/>
      <c r="AB166" s="475"/>
    </row>
    <row r="167" spans="1:28" ht="28.5" customHeight="1" thickBot="1">
      <c r="A167" s="475"/>
      <c r="B167" s="475"/>
      <c r="C167" s="475"/>
      <c r="D167" s="475"/>
      <c r="E167" s="475"/>
      <c r="F167" s="475"/>
      <c r="G167" s="475"/>
      <c r="H167" s="495"/>
      <c r="I167" s="495"/>
      <c r="J167" s="475"/>
      <c r="K167" s="475"/>
      <c r="L167" s="475"/>
      <c r="M167" s="475"/>
      <c r="N167" s="475"/>
      <c r="O167" s="475"/>
      <c r="P167" s="475"/>
      <c r="Q167" s="475"/>
      <c r="R167" s="475"/>
      <c r="S167" s="475"/>
      <c r="T167" s="475"/>
      <c r="U167" s="475"/>
      <c r="V167" s="475"/>
      <c r="W167" s="475"/>
      <c r="X167" s="475"/>
      <c r="Y167" s="475"/>
      <c r="Z167" s="475"/>
      <c r="AA167" s="475"/>
      <c r="AB167" s="475"/>
    </row>
    <row r="168" spans="1:28" ht="28.5" customHeight="1" thickBot="1">
      <c r="A168" s="475"/>
      <c r="B168" s="475"/>
      <c r="C168" s="475"/>
      <c r="D168" s="475"/>
      <c r="E168" s="475"/>
      <c r="F168" s="475"/>
      <c r="G168" s="475"/>
      <c r="H168" s="495"/>
      <c r="I168" s="495"/>
      <c r="J168" s="475"/>
      <c r="K168" s="475"/>
      <c r="L168" s="475"/>
      <c r="M168" s="475"/>
      <c r="N168" s="475"/>
      <c r="O168" s="475"/>
      <c r="P168" s="475"/>
      <c r="Q168" s="475"/>
      <c r="R168" s="475"/>
      <c r="S168" s="475"/>
      <c r="T168" s="475"/>
      <c r="U168" s="475"/>
      <c r="V168" s="475"/>
      <c r="W168" s="475"/>
      <c r="X168" s="475"/>
      <c r="Y168" s="475"/>
      <c r="Z168" s="475"/>
      <c r="AA168" s="475"/>
      <c r="AB168" s="475"/>
    </row>
    <row r="169" spans="1:28" ht="28.5" customHeight="1" thickBot="1">
      <c r="A169" s="475"/>
      <c r="B169" s="475"/>
      <c r="C169" s="475"/>
      <c r="D169" s="475"/>
      <c r="E169" s="475"/>
      <c r="F169" s="475"/>
      <c r="G169" s="475"/>
      <c r="H169" s="495"/>
      <c r="I169" s="495"/>
      <c r="J169" s="475"/>
      <c r="K169" s="475"/>
      <c r="L169" s="475"/>
      <c r="M169" s="475"/>
      <c r="N169" s="475"/>
      <c r="O169" s="475"/>
      <c r="P169" s="475"/>
      <c r="Q169" s="475"/>
      <c r="R169" s="475"/>
      <c r="S169" s="475"/>
      <c r="T169" s="475"/>
      <c r="U169" s="475"/>
      <c r="V169" s="475"/>
      <c r="W169" s="475"/>
      <c r="X169" s="475"/>
      <c r="Y169" s="475"/>
      <c r="Z169" s="475"/>
      <c r="AA169" s="475"/>
      <c r="AB169" s="475"/>
    </row>
    <row r="170" spans="1:28" ht="28.5" customHeight="1" thickBot="1">
      <c r="A170" s="475"/>
      <c r="B170" s="475"/>
      <c r="C170" s="475"/>
      <c r="D170" s="475"/>
      <c r="E170" s="475"/>
      <c r="F170" s="475"/>
      <c r="G170" s="475"/>
      <c r="H170" s="495"/>
      <c r="I170" s="495"/>
      <c r="J170" s="475"/>
      <c r="K170" s="475"/>
      <c r="L170" s="475"/>
      <c r="M170" s="475"/>
      <c r="N170" s="475"/>
      <c r="O170" s="475"/>
      <c r="P170" s="475"/>
      <c r="Q170" s="475"/>
      <c r="R170" s="475"/>
      <c r="S170" s="475"/>
      <c r="T170" s="475"/>
      <c r="U170" s="475"/>
      <c r="V170" s="475"/>
      <c r="W170" s="475"/>
      <c r="X170" s="475"/>
      <c r="Y170" s="475"/>
      <c r="Z170" s="475"/>
      <c r="AA170" s="475"/>
      <c r="AB170" s="475"/>
    </row>
    <row r="171" spans="1:28" ht="28.5" customHeight="1" thickBot="1">
      <c r="A171" s="475"/>
      <c r="B171" s="475"/>
      <c r="C171" s="475"/>
      <c r="D171" s="475"/>
      <c r="E171" s="475"/>
      <c r="F171" s="475"/>
      <c r="G171" s="475"/>
      <c r="H171" s="495"/>
      <c r="I171" s="495"/>
      <c r="J171" s="475"/>
      <c r="K171" s="475"/>
      <c r="L171" s="475"/>
      <c r="M171" s="475"/>
      <c r="N171" s="475"/>
      <c r="O171" s="475"/>
      <c r="P171" s="475"/>
      <c r="Q171" s="475"/>
      <c r="R171" s="475"/>
      <c r="S171" s="475"/>
      <c r="T171" s="475"/>
      <c r="U171" s="475"/>
      <c r="V171" s="475"/>
      <c r="W171" s="475"/>
      <c r="X171" s="475"/>
      <c r="Y171" s="475"/>
      <c r="Z171" s="475"/>
      <c r="AA171" s="475"/>
      <c r="AB171" s="475"/>
    </row>
    <row r="172" spans="1:28" ht="28.5" customHeight="1" thickBot="1">
      <c r="A172" s="475"/>
      <c r="B172" s="475"/>
      <c r="C172" s="475"/>
      <c r="D172" s="475"/>
      <c r="E172" s="475"/>
      <c r="F172" s="475"/>
      <c r="G172" s="475"/>
      <c r="H172" s="495"/>
      <c r="I172" s="495"/>
      <c r="J172" s="475"/>
      <c r="K172" s="475"/>
      <c r="L172" s="475"/>
      <c r="M172" s="475"/>
      <c r="N172" s="475"/>
      <c r="O172" s="475"/>
      <c r="P172" s="475"/>
      <c r="Q172" s="475"/>
      <c r="R172" s="475"/>
      <c r="S172" s="475"/>
      <c r="T172" s="475"/>
      <c r="U172" s="475"/>
      <c r="V172" s="475"/>
      <c r="W172" s="475"/>
      <c r="X172" s="475"/>
      <c r="Y172" s="475"/>
      <c r="Z172" s="475"/>
      <c r="AA172" s="475"/>
      <c r="AB172" s="475"/>
    </row>
    <row r="173" spans="1:28" ht="28.5" customHeight="1" thickBot="1">
      <c r="A173" s="475"/>
      <c r="B173" s="475"/>
      <c r="C173" s="475"/>
      <c r="D173" s="475"/>
      <c r="E173" s="475"/>
      <c r="F173" s="475"/>
      <c r="G173" s="475"/>
      <c r="H173" s="495"/>
      <c r="I173" s="495"/>
      <c r="J173" s="475"/>
      <c r="K173" s="475"/>
      <c r="L173" s="475"/>
      <c r="M173" s="475"/>
      <c r="N173" s="475"/>
      <c r="O173" s="475"/>
      <c r="P173" s="475"/>
      <c r="Q173" s="475"/>
      <c r="R173" s="475"/>
      <c r="S173" s="475"/>
      <c r="T173" s="475"/>
      <c r="U173" s="475"/>
      <c r="V173" s="475"/>
      <c r="W173" s="475"/>
      <c r="X173" s="475"/>
      <c r="Y173" s="475"/>
      <c r="Z173" s="475"/>
      <c r="AA173" s="475"/>
      <c r="AB173" s="475"/>
    </row>
    <row r="174" spans="1:28" ht="28.5" customHeight="1" thickBot="1">
      <c r="A174" s="475"/>
      <c r="B174" s="475"/>
      <c r="C174" s="475"/>
      <c r="D174" s="475"/>
      <c r="E174" s="475"/>
      <c r="F174" s="475"/>
      <c r="G174" s="475"/>
      <c r="H174" s="495"/>
      <c r="I174" s="495"/>
      <c r="J174" s="475"/>
      <c r="K174" s="475"/>
      <c r="L174" s="475"/>
      <c r="M174" s="475"/>
      <c r="N174" s="475"/>
      <c r="O174" s="475"/>
      <c r="P174" s="475"/>
      <c r="Q174" s="475"/>
      <c r="R174" s="475"/>
      <c r="S174" s="475"/>
      <c r="T174" s="475"/>
      <c r="U174" s="475"/>
      <c r="V174" s="475"/>
      <c r="W174" s="475"/>
      <c r="X174" s="475"/>
      <c r="Y174" s="475"/>
      <c r="Z174" s="475"/>
      <c r="AA174" s="475"/>
      <c r="AB174" s="475"/>
    </row>
    <row r="175" spans="1:28" ht="28.5" customHeight="1" thickBot="1">
      <c r="A175" s="475"/>
      <c r="B175" s="475"/>
      <c r="C175" s="475"/>
      <c r="D175" s="475"/>
      <c r="E175" s="475"/>
      <c r="F175" s="475"/>
      <c r="G175" s="475"/>
      <c r="H175" s="495"/>
      <c r="I175" s="495"/>
      <c r="J175" s="475"/>
      <c r="K175" s="475"/>
      <c r="L175" s="475"/>
      <c r="M175" s="475"/>
      <c r="N175" s="475"/>
      <c r="O175" s="475"/>
      <c r="P175" s="475"/>
      <c r="Q175" s="475"/>
      <c r="R175" s="475"/>
      <c r="S175" s="475"/>
      <c r="T175" s="475"/>
      <c r="U175" s="475"/>
      <c r="V175" s="475"/>
      <c r="W175" s="475"/>
      <c r="X175" s="475"/>
      <c r="Y175" s="475"/>
      <c r="Z175" s="475"/>
      <c r="AA175" s="475"/>
      <c r="AB175" s="475"/>
    </row>
    <row r="176" spans="1:28" ht="28.5" customHeight="1" thickBot="1">
      <c r="A176" s="475"/>
      <c r="B176" s="475"/>
      <c r="C176" s="475"/>
      <c r="D176" s="475"/>
      <c r="E176" s="475"/>
      <c r="F176" s="475"/>
      <c r="G176" s="475"/>
      <c r="H176" s="495"/>
      <c r="I176" s="495"/>
      <c r="J176" s="475"/>
    </row>
    <row r="177" spans="1:10" ht="28.5" customHeight="1" thickBot="1">
      <c r="A177" s="475"/>
      <c r="B177" s="475"/>
      <c r="C177" s="475"/>
      <c r="D177" s="475"/>
      <c r="E177" s="475"/>
      <c r="F177" s="475"/>
      <c r="G177" s="475"/>
      <c r="H177" s="495"/>
      <c r="I177" s="495"/>
      <c r="J177" s="475"/>
    </row>
    <row r="178" spans="1:10" ht="28.5" customHeight="1" thickBot="1">
      <c r="A178" s="475"/>
      <c r="B178" s="475"/>
      <c r="C178" s="475"/>
      <c r="D178" s="475"/>
      <c r="E178" s="475"/>
      <c r="F178" s="475"/>
      <c r="G178" s="475"/>
      <c r="H178" s="495"/>
      <c r="I178" s="495"/>
      <c r="J178" s="475"/>
    </row>
    <row r="179" spans="1:10" ht="28.5" customHeight="1" thickBot="1">
      <c r="A179" s="475"/>
      <c r="B179" s="475"/>
      <c r="C179" s="475"/>
      <c r="D179" s="475"/>
      <c r="E179" s="475"/>
      <c r="F179" s="475"/>
      <c r="G179" s="475"/>
      <c r="H179" s="495"/>
      <c r="I179" s="495"/>
      <c r="J179" s="475"/>
    </row>
    <row r="180" spans="1:10" ht="28.5" customHeight="1" thickBot="1">
      <c r="A180" s="475"/>
      <c r="B180" s="475"/>
      <c r="C180" s="475"/>
      <c r="D180" s="475"/>
      <c r="E180" s="475"/>
      <c r="F180" s="475"/>
      <c r="G180" s="475"/>
      <c r="H180" s="495"/>
      <c r="I180" s="495"/>
      <c r="J180" s="475"/>
    </row>
    <row r="181" spans="1:10" ht="28.5" customHeight="1" thickBot="1">
      <c r="A181" s="475"/>
      <c r="B181" s="475"/>
      <c r="C181" s="475"/>
      <c r="D181" s="475"/>
      <c r="E181" s="475"/>
      <c r="F181" s="475"/>
      <c r="G181" s="475"/>
      <c r="H181" s="495"/>
      <c r="I181" s="495"/>
      <c r="J181" s="475"/>
    </row>
    <row r="182" spans="1:10" ht="28.5" customHeight="1" thickBot="1">
      <c r="A182" s="475"/>
      <c r="B182" s="475"/>
      <c r="C182" s="475"/>
      <c r="D182" s="475"/>
      <c r="E182" s="475"/>
      <c r="F182" s="475"/>
      <c r="G182" s="475"/>
      <c r="H182" s="495"/>
      <c r="I182" s="495"/>
      <c r="J182" s="475"/>
    </row>
    <row r="183" spans="1:10" ht="28.5" customHeight="1" thickBot="1">
      <c r="A183" s="475"/>
      <c r="B183" s="475"/>
      <c r="C183" s="475"/>
      <c r="D183" s="475"/>
      <c r="E183" s="475"/>
      <c r="F183" s="475"/>
      <c r="G183" s="475"/>
      <c r="H183" s="495"/>
      <c r="I183" s="495"/>
      <c r="J183" s="475"/>
    </row>
    <row r="184" spans="1:10" ht="28.5" customHeight="1" thickBot="1">
      <c r="A184" s="475"/>
      <c r="B184" s="475"/>
      <c r="C184" s="475"/>
      <c r="D184" s="475"/>
      <c r="E184" s="475"/>
      <c r="F184" s="475"/>
      <c r="G184" s="475"/>
      <c r="H184" s="495"/>
      <c r="I184" s="495"/>
      <c r="J184" s="475"/>
    </row>
  </sheetData>
  <sheetProtection algorithmName="SHA-512" hashValue="qRmWXs93MsAnscess6yYSZ8VH949A5oRhvAVNi56DZ6oA3EYmsWiD6yba+gPqHQDhXr6bCNQXfCPDg1zcxxbKw==" saltValue="8ziUwF2hkzPAQeOio1nE/w==" spinCount="100000" sheet="1" formatCells="0"/>
  <mergeCells count="104">
    <mergeCell ref="B38:N38"/>
    <mergeCell ref="D19:E19"/>
    <mergeCell ref="D20:E20"/>
    <mergeCell ref="D21:E21"/>
    <mergeCell ref="D22:E22"/>
    <mergeCell ref="D23:E23"/>
    <mergeCell ref="L40:N40"/>
    <mergeCell ref="I19:J19"/>
    <mergeCell ref="I20:J20"/>
    <mergeCell ref="I21:J21"/>
    <mergeCell ref="I22:J22"/>
    <mergeCell ref="I23:J23"/>
    <mergeCell ref="I24:J24"/>
    <mergeCell ref="I25:J25"/>
    <mergeCell ref="I26:J26"/>
    <mergeCell ref="I27:J27"/>
    <mergeCell ref="I28:J28"/>
    <mergeCell ref="I29:J29"/>
    <mergeCell ref="I30:J30"/>
    <mergeCell ref="I31:J31"/>
    <mergeCell ref="I33:J33"/>
    <mergeCell ref="I34:J34"/>
    <mergeCell ref="D29:E29"/>
    <mergeCell ref="D30:E30"/>
    <mergeCell ref="L56:N56"/>
    <mergeCell ref="L57:N57"/>
    <mergeCell ref="L58:N58"/>
    <mergeCell ref="L59:N59"/>
    <mergeCell ref="L60:N60"/>
    <mergeCell ref="L51:N51"/>
    <mergeCell ref="L52:N52"/>
    <mergeCell ref="L53:N53"/>
    <mergeCell ref="L54:N54"/>
    <mergeCell ref="L55:N55"/>
    <mergeCell ref="L46:N46"/>
    <mergeCell ref="L47:N47"/>
    <mergeCell ref="L48:N48"/>
    <mergeCell ref="L49:N49"/>
    <mergeCell ref="L50:N50"/>
    <mergeCell ref="L41:N41"/>
    <mergeCell ref="L42:N42"/>
    <mergeCell ref="L43:N43"/>
    <mergeCell ref="L44:N44"/>
    <mergeCell ref="L45:N45"/>
    <mergeCell ref="E54:F54"/>
    <mergeCell ref="E55:F55"/>
    <mergeCell ref="E56:F56"/>
    <mergeCell ref="E57:F57"/>
    <mergeCell ref="E40:F40"/>
    <mergeCell ref="C56:D56"/>
    <mergeCell ref="C57:D57"/>
    <mergeCell ref="C40:D40"/>
    <mergeCell ref="E41:F41"/>
    <mergeCell ref="E42:F42"/>
    <mergeCell ref="E43:F43"/>
    <mergeCell ref="E47:F47"/>
    <mergeCell ref="E48:F48"/>
    <mergeCell ref="E50:F50"/>
    <mergeCell ref="E52:F52"/>
    <mergeCell ref="E44:F44"/>
    <mergeCell ref="E45:F45"/>
    <mergeCell ref="E46:F46"/>
    <mergeCell ref="E49:F49"/>
    <mergeCell ref="E51:F51"/>
    <mergeCell ref="E53:F53"/>
    <mergeCell ref="C51:D51"/>
    <mergeCell ref="C52:D52"/>
    <mergeCell ref="C53:D53"/>
    <mergeCell ref="C54:D54"/>
    <mergeCell ref="C55:D55"/>
    <mergeCell ref="C46:D46"/>
    <mergeCell ref="C47:D47"/>
    <mergeCell ref="C48:D48"/>
    <mergeCell ref="C49:D49"/>
    <mergeCell ref="C50:D50"/>
    <mergeCell ref="C41:D41"/>
    <mergeCell ref="C42:D42"/>
    <mergeCell ref="C43:D43"/>
    <mergeCell ref="C44:D44"/>
    <mergeCell ref="C45:D45"/>
    <mergeCell ref="B2:N2"/>
    <mergeCell ref="B6:E6"/>
    <mergeCell ref="B17:E17"/>
    <mergeCell ref="B4:N4"/>
    <mergeCell ref="I32:J32"/>
    <mergeCell ref="I8:J8"/>
    <mergeCell ref="I9:J9"/>
    <mergeCell ref="I10:J10"/>
    <mergeCell ref="G17:J17"/>
    <mergeCell ref="G6:J6"/>
    <mergeCell ref="L6:N6"/>
    <mergeCell ref="L17:N17"/>
    <mergeCell ref="D8:E8"/>
    <mergeCell ref="D9:E9"/>
    <mergeCell ref="D10:E10"/>
    <mergeCell ref="D7:E7"/>
    <mergeCell ref="D24:E24"/>
    <mergeCell ref="D25:E25"/>
    <mergeCell ref="D26:E26"/>
    <mergeCell ref="D27:E27"/>
    <mergeCell ref="D28:E28"/>
    <mergeCell ref="D11:E11"/>
    <mergeCell ref="D12:E12"/>
    <mergeCell ref="D13:E13"/>
  </mergeCells>
  <phoneticPr fontId="5" type="noConversion"/>
  <dataValidations count="1">
    <dataValidation type="custom" allowBlank="1" showInputMessage="1" showErrorMessage="1" sqref="I41:I56 G41:G57" xr:uid="{F8DF97C0-3CB8-4451-A024-B71793D5789C}">
      <formula1>ISNUMBER(G41)</formula1>
    </dataValidation>
  </dataValidations>
  <pageMargins left="0.7" right="0.7" top="0.75" bottom="0.75" header="0.3" footer="0.3"/>
  <pageSetup paperSize="9" scale="39" orientation="portrait" r:id="rId1"/>
  <rowBreaks count="1" manualBreakCount="1">
    <brk id="4" max="11"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22</vt:i4>
      </vt:variant>
    </vt:vector>
  </HeadingPairs>
  <TitlesOfParts>
    <vt:vector size="29" baseType="lpstr">
      <vt:lpstr>1. Read Me</vt:lpstr>
      <vt:lpstr>2. Inputs</vt:lpstr>
      <vt:lpstr>3. Report</vt:lpstr>
      <vt:lpstr>Backend Design</vt:lpstr>
      <vt:lpstr>Backend Finance</vt:lpstr>
      <vt:lpstr>Backend Values</vt:lpstr>
      <vt:lpstr>Reference Prices</vt:lpstr>
      <vt:lpstr>Baseline_Year</vt:lpstr>
      <vt:lpstr>Buy_Down</vt:lpstr>
      <vt:lpstr>CAPEX_Factor</vt:lpstr>
      <vt:lpstr>Equity_IRR</vt:lpstr>
      <vt:lpstr>Equity_Payback</vt:lpstr>
      <vt:lpstr>Generation_Subsidy</vt:lpstr>
      <vt:lpstr>Grant_as_CAPEX</vt:lpstr>
      <vt:lpstr>Initial_ER</vt:lpstr>
      <vt:lpstr>Interest_Rate</vt:lpstr>
      <vt:lpstr>Net_Metering</vt:lpstr>
      <vt:lpstr>OPEX_Factor</vt:lpstr>
      <vt:lpstr>PPA_Rate</vt:lpstr>
      <vt:lpstr>'1. Read Me'!Print_Area</vt:lpstr>
      <vt:lpstr>'2. Inputs'!Print_Area</vt:lpstr>
      <vt:lpstr>'3. Report'!Print_Area</vt:lpstr>
      <vt:lpstr>'Backend Design'!Print_Area</vt:lpstr>
      <vt:lpstr>'Backend Finance'!Print_Area</vt:lpstr>
      <vt:lpstr>'Backend Values'!Print_Area</vt:lpstr>
      <vt:lpstr>'Reference Prices'!Print_Area</vt:lpstr>
      <vt:lpstr>Residential_Connection_Fee</vt:lpstr>
      <vt:lpstr>Sales_Factor</vt:lpstr>
      <vt:lpstr>Self_Consumption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Nipun Regmi</dc:creator>
  <cp:keywords/>
  <dc:description/>
  <cp:lastModifiedBy>Nipun Regmi</cp:lastModifiedBy>
  <cp:revision/>
  <cp:lastPrinted>2024-03-01T10:10:24Z</cp:lastPrinted>
  <dcterms:created xsi:type="dcterms:W3CDTF">2015-06-05T18:17:20Z</dcterms:created>
  <dcterms:modified xsi:type="dcterms:W3CDTF">2024-03-05T10:51:22Z</dcterms:modified>
  <cp:category/>
  <cp:contentStatus/>
</cp:coreProperties>
</file>